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ogarthww-my.sharepoint.com/personal/wacima_chabane_hogarth_com/Documents/Desktop/PTA/23-24/"/>
    </mc:Choice>
  </mc:AlternateContent>
  <xr:revisionPtr revIDLastSave="0" documentId="8_{50A896CC-9E8D-4600-8215-4B044B689BFE}" xr6:coauthVersionLast="47" xr6:coauthVersionMax="47" xr10:uidLastSave="{00000000-0000-0000-0000-000000000000}"/>
  <bookViews>
    <workbookView xWindow="-110" yWindow="-110" windowWidth="38620" windowHeight="21100" xr2:uid="{0A8FEAB3-7694-47F9-A51E-64411F593D01}"/>
  </bookViews>
  <sheets>
    <sheet name="Presented 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7" i="1" l="1"/>
  <c r="B127" i="1"/>
  <c r="G123" i="1"/>
  <c r="T121" i="1"/>
  <c r="S121" i="1"/>
  <c r="R121" i="1"/>
  <c r="R122" i="1" s="1"/>
  <c r="Q121" i="1"/>
  <c r="L121" i="1"/>
  <c r="K121" i="1"/>
  <c r="J121" i="1"/>
  <c r="J122" i="1" s="1"/>
  <c r="G121" i="1"/>
  <c r="C121" i="1"/>
  <c r="T120" i="1"/>
  <c r="M120" i="1"/>
  <c r="G120" i="1"/>
  <c r="F120" i="1"/>
  <c r="T119" i="1"/>
  <c r="M119" i="1"/>
  <c r="G119" i="1"/>
  <c r="F119" i="1"/>
  <c r="T118" i="1"/>
  <c r="M118" i="1"/>
  <c r="G118" i="1"/>
  <c r="F118" i="1"/>
  <c r="T117" i="1"/>
  <c r="M117" i="1"/>
  <c r="G117" i="1"/>
  <c r="F117" i="1"/>
  <c r="T116" i="1"/>
  <c r="M116" i="1"/>
  <c r="G116" i="1"/>
  <c r="F116" i="1"/>
  <c r="T115" i="1"/>
  <c r="M115" i="1"/>
  <c r="M121" i="1" s="1"/>
  <c r="L115" i="1"/>
  <c r="G115" i="1"/>
  <c r="F115" i="1"/>
  <c r="G114" i="1"/>
  <c r="S113" i="1"/>
  <c r="R113" i="1"/>
  <c r="Q113" i="1"/>
  <c r="K113" i="1"/>
  <c r="J113" i="1"/>
  <c r="E113" i="1"/>
  <c r="D113" i="1"/>
  <c r="C113" i="1"/>
  <c r="G113" i="1" s="1"/>
  <c r="T112" i="1"/>
  <c r="M112" i="1"/>
  <c r="G112" i="1"/>
  <c r="F112" i="1"/>
  <c r="T111" i="1"/>
  <c r="S111" i="1"/>
  <c r="M111" i="1"/>
  <c r="L111" i="1"/>
  <c r="G111" i="1"/>
  <c r="F111" i="1"/>
  <c r="T110" i="1"/>
  <c r="S110" i="1"/>
  <c r="M110" i="1"/>
  <c r="G110" i="1"/>
  <c r="F110" i="1"/>
  <c r="S109" i="1"/>
  <c r="T109" i="1" s="1"/>
  <c r="L109" i="1"/>
  <c r="M109" i="1" s="1"/>
  <c r="G109" i="1"/>
  <c r="F109" i="1"/>
  <c r="T108" i="1"/>
  <c r="M108" i="1"/>
  <c r="G108" i="1"/>
  <c r="F108" i="1"/>
  <c r="T107" i="1"/>
  <c r="M107" i="1"/>
  <c r="G107" i="1"/>
  <c r="F107" i="1"/>
  <c r="T106" i="1"/>
  <c r="M106" i="1"/>
  <c r="G106" i="1"/>
  <c r="F106" i="1"/>
  <c r="T105" i="1"/>
  <c r="M105" i="1"/>
  <c r="G105" i="1"/>
  <c r="F105" i="1"/>
  <c r="F113" i="1" s="1"/>
  <c r="T104" i="1"/>
  <c r="M104" i="1"/>
  <c r="G104" i="1"/>
  <c r="F104" i="1"/>
  <c r="T103" i="1"/>
  <c r="T113" i="1" s="1"/>
  <c r="M103" i="1"/>
  <c r="L103" i="1"/>
  <c r="L113" i="1" s="1"/>
  <c r="G103" i="1"/>
  <c r="F103" i="1"/>
  <c r="G102" i="1"/>
  <c r="S101" i="1"/>
  <c r="R101" i="1"/>
  <c r="Q101" i="1"/>
  <c r="Q122" i="1" s="1"/>
  <c r="L101" i="1"/>
  <c r="K101" i="1"/>
  <c r="J101" i="1"/>
  <c r="E101" i="1"/>
  <c r="D101" i="1"/>
  <c r="C101" i="1"/>
  <c r="G101" i="1" s="1"/>
  <c r="T100" i="1"/>
  <c r="M100" i="1"/>
  <c r="G100" i="1"/>
  <c r="F100" i="1"/>
  <c r="T99" i="1"/>
  <c r="M99" i="1"/>
  <c r="G99" i="1"/>
  <c r="F99" i="1"/>
  <c r="T98" i="1"/>
  <c r="L98" i="1"/>
  <c r="M98" i="1" s="1"/>
  <c r="G98" i="1"/>
  <c r="F98" i="1"/>
  <c r="T97" i="1"/>
  <c r="T101" i="1" s="1"/>
  <c r="M97" i="1"/>
  <c r="G97" i="1"/>
  <c r="F97" i="1"/>
  <c r="F101" i="1" s="1"/>
  <c r="G96" i="1"/>
  <c r="T95" i="1"/>
  <c r="S95" i="1"/>
  <c r="R95" i="1"/>
  <c r="Q95" i="1"/>
  <c r="K95" i="1"/>
  <c r="J95" i="1"/>
  <c r="E95" i="1"/>
  <c r="D95" i="1"/>
  <c r="C95" i="1"/>
  <c r="G95" i="1" s="1"/>
  <c r="T94" i="1"/>
  <c r="M94" i="1"/>
  <c r="G94" i="1"/>
  <c r="F94" i="1"/>
  <c r="T93" i="1"/>
  <c r="M93" i="1"/>
  <c r="G93" i="1"/>
  <c r="F93" i="1"/>
  <c r="T92" i="1"/>
  <c r="M92" i="1"/>
  <c r="G92" i="1"/>
  <c r="F92" i="1"/>
  <c r="T91" i="1"/>
  <c r="M91" i="1"/>
  <c r="G91" i="1"/>
  <c r="F91" i="1"/>
  <c r="T90" i="1"/>
  <c r="M90" i="1"/>
  <c r="M95" i="1" s="1"/>
  <c r="G90" i="1"/>
  <c r="F90" i="1"/>
  <c r="T89" i="1"/>
  <c r="M89" i="1"/>
  <c r="G89" i="1"/>
  <c r="F89" i="1"/>
  <c r="F95" i="1" s="1"/>
  <c r="G88" i="1"/>
  <c r="R87" i="1"/>
  <c r="Q87" i="1"/>
  <c r="L87" i="1"/>
  <c r="L95" i="1" s="1"/>
  <c r="J87" i="1"/>
  <c r="E87" i="1"/>
  <c r="D87" i="1"/>
  <c r="T86" i="1"/>
  <c r="M86" i="1"/>
  <c r="G86" i="1"/>
  <c r="F86" i="1"/>
  <c r="T85" i="1"/>
  <c r="M85" i="1"/>
  <c r="F85" i="1"/>
  <c r="S84" i="1"/>
  <c r="S87" i="1" s="1"/>
  <c r="S122" i="1" s="1"/>
  <c r="L84" i="1"/>
  <c r="K84" i="1"/>
  <c r="K87" i="1" s="1"/>
  <c r="F84" i="1"/>
  <c r="F87" i="1" s="1"/>
  <c r="C84" i="1"/>
  <c r="G84" i="1" s="1"/>
  <c r="G83" i="1"/>
  <c r="G82" i="1"/>
  <c r="G81" i="1"/>
  <c r="G78" i="1"/>
  <c r="T77" i="1"/>
  <c r="S77" i="1"/>
  <c r="R77" i="1"/>
  <c r="Q77" i="1"/>
  <c r="L77" i="1"/>
  <c r="K77" i="1"/>
  <c r="J77" i="1"/>
  <c r="E77" i="1"/>
  <c r="D77" i="1"/>
  <c r="C77" i="1"/>
  <c r="G77" i="1" s="1"/>
  <c r="T76" i="1"/>
  <c r="M76" i="1"/>
  <c r="M77" i="1" s="1"/>
  <c r="G76" i="1"/>
  <c r="F76" i="1"/>
  <c r="T75" i="1"/>
  <c r="M75" i="1"/>
  <c r="G75" i="1"/>
  <c r="F75" i="1"/>
  <c r="F77" i="1" s="1"/>
  <c r="S74" i="1"/>
  <c r="R74" i="1"/>
  <c r="Q74" i="1"/>
  <c r="L74" i="1"/>
  <c r="K74" i="1"/>
  <c r="J74" i="1"/>
  <c r="F74" i="1"/>
  <c r="E74" i="1"/>
  <c r="D74" i="1"/>
  <c r="C74" i="1"/>
  <c r="G74" i="1" s="1"/>
  <c r="T73" i="1"/>
  <c r="M73" i="1"/>
  <c r="M74" i="1" s="1"/>
  <c r="G73" i="1"/>
  <c r="F73" i="1"/>
  <c r="T72" i="1"/>
  <c r="T74" i="1" s="1"/>
  <c r="M72" i="1"/>
  <c r="G72" i="1"/>
  <c r="F72" i="1"/>
  <c r="S71" i="1"/>
  <c r="Q71" i="1"/>
  <c r="M71" i="1"/>
  <c r="L71" i="1"/>
  <c r="K71" i="1"/>
  <c r="J71" i="1"/>
  <c r="E71" i="1"/>
  <c r="D71" i="1"/>
  <c r="C71" i="1"/>
  <c r="G71" i="1" s="1"/>
  <c r="R70" i="1"/>
  <c r="T70" i="1" s="1"/>
  <c r="M70" i="1"/>
  <c r="G70" i="1"/>
  <c r="F70" i="1"/>
  <c r="F71" i="1" s="1"/>
  <c r="S69" i="1"/>
  <c r="R69" i="1"/>
  <c r="R71" i="1" s="1"/>
  <c r="M69" i="1"/>
  <c r="G69" i="1"/>
  <c r="F69" i="1"/>
  <c r="S68" i="1"/>
  <c r="R68" i="1"/>
  <c r="Q68" i="1"/>
  <c r="M68" i="1"/>
  <c r="L68" i="1"/>
  <c r="K68" i="1"/>
  <c r="J68" i="1"/>
  <c r="E68" i="1"/>
  <c r="D68" i="1"/>
  <c r="C68" i="1"/>
  <c r="G68" i="1" s="1"/>
  <c r="T67" i="1"/>
  <c r="M67" i="1"/>
  <c r="G67" i="1"/>
  <c r="F67" i="1"/>
  <c r="T66" i="1"/>
  <c r="T68" i="1" s="1"/>
  <c r="M66" i="1"/>
  <c r="G66" i="1"/>
  <c r="F66" i="1"/>
  <c r="F68" i="1" s="1"/>
  <c r="J65" i="1"/>
  <c r="T64" i="1"/>
  <c r="P64" i="1"/>
  <c r="M64" i="1"/>
  <c r="G64" i="1"/>
  <c r="F64" i="1"/>
  <c r="B64" i="1"/>
  <c r="B56" i="1" s="1"/>
  <c r="B55" i="1" s="1"/>
  <c r="T63" i="1"/>
  <c r="P63" i="1"/>
  <c r="M63" i="1"/>
  <c r="G63" i="1"/>
  <c r="F63" i="1"/>
  <c r="B63" i="1"/>
  <c r="T62" i="1"/>
  <c r="P62" i="1"/>
  <c r="M62" i="1"/>
  <c r="G62" i="1"/>
  <c r="F62" i="1"/>
  <c r="B62" i="1"/>
  <c r="T61" i="1"/>
  <c r="M61" i="1"/>
  <c r="G61" i="1"/>
  <c r="F61" i="1"/>
  <c r="T60" i="1"/>
  <c r="M60" i="1"/>
  <c r="G60" i="1"/>
  <c r="F60" i="1"/>
  <c r="T59" i="1"/>
  <c r="M59" i="1"/>
  <c r="G59" i="1"/>
  <c r="F59" i="1"/>
  <c r="T58" i="1"/>
  <c r="M58" i="1"/>
  <c r="G58" i="1"/>
  <c r="F58" i="1"/>
  <c r="T57" i="1"/>
  <c r="T55" i="1" s="1"/>
  <c r="M57" i="1"/>
  <c r="G57" i="1"/>
  <c r="F57" i="1"/>
  <c r="T56" i="1"/>
  <c r="P56" i="1"/>
  <c r="M56" i="1"/>
  <c r="G56" i="1"/>
  <c r="F56" i="1"/>
  <c r="F55" i="1" s="1"/>
  <c r="F65" i="1" s="1"/>
  <c r="S55" i="1"/>
  <c r="R55" i="1"/>
  <c r="Q55" i="1"/>
  <c r="Q65" i="1" s="1"/>
  <c r="P55" i="1"/>
  <c r="L55" i="1"/>
  <c r="L65" i="1" s="1"/>
  <c r="K55" i="1"/>
  <c r="K65" i="1" s="1"/>
  <c r="E55" i="1"/>
  <c r="D55" i="1"/>
  <c r="C55" i="1"/>
  <c r="G55" i="1" s="1"/>
  <c r="T54" i="1"/>
  <c r="M54" i="1"/>
  <c r="G54" i="1"/>
  <c r="F54" i="1"/>
  <c r="T53" i="1"/>
  <c r="M53" i="1"/>
  <c r="G53" i="1"/>
  <c r="F53" i="1"/>
  <c r="T52" i="1"/>
  <c r="M52" i="1"/>
  <c r="G52" i="1"/>
  <c r="F52" i="1"/>
  <c r="T51" i="1"/>
  <c r="M51" i="1"/>
  <c r="G51" i="1"/>
  <c r="F51" i="1"/>
  <c r="T50" i="1"/>
  <c r="M50" i="1"/>
  <c r="G50" i="1"/>
  <c r="F50" i="1"/>
  <c r="T49" i="1"/>
  <c r="M49" i="1"/>
  <c r="G49" i="1"/>
  <c r="F49" i="1"/>
  <c r="T48" i="1"/>
  <c r="S48" i="1"/>
  <c r="M48" i="1"/>
  <c r="G48" i="1"/>
  <c r="F48" i="1"/>
  <c r="S47" i="1"/>
  <c r="T47" i="1" s="1"/>
  <c r="T65" i="1" s="1"/>
  <c r="R47" i="1"/>
  <c r="R65" i="1" s="1"/>
  <c r="M47" i="1"/>
  <c r="L47" i="1"/>
  <c r="F47" i="1"/>
  <c r="E47" i="1"/>
  <c r="E65" i="1" s="1"/>
  <c r="D47" i="1"/>
  <c r="D65" i="1" s="1"/>
  <c r="C47" i="1"/>
  <c r="C65" i="1" s="1"/>
  <c r="G65" i="1" s="1"/>
  <c r="B47" i="1"/>
  <c r="Q46" i="1"/>
  <c r="K46" i="1"/>
  <c r="J46" i="1"/>
  <c r="G46" i="1"/>
  <c r="E46" i="1"/>
  <c r="D46" i="1"/>
  <c r="C46" i="1"/>
  <c r="R45" i="1"/>
  <c r="T45" i="1" s="1"/>
  <c r="T46" i="1" s="1"/>
  <c r="P45" i="1"/>
  <c r="M45" i="1"/>
  <c r="G45" i="1"/>
  <c r="F45" i="1"/>
  <c r="T44" i="1"/>
  <c r="S44" i="1"/>
  <c r="S46" i="1" s="1"/>
  <c r="L44" i="1"/>
  <c r="L46" i="1" s="1"/>
  <c r="K44" i="1"/>
  <c r="G44" i="1"/>
  <c r="F44" i="1"/>
  <c r="F46" i="1" s="1"/>
  <c r="T43" i="1"/>
  <c r="S43" i="1"/>
  <c r="R43" i="1"/>
  <c r="Q43" i="1"/>
  <c r="L43" i="1"/>
  <c r="K43" i="1"/>
  <c r="J43" i="1"/>
  <c r="E43" i="1"/>
  <c r="D43" i="1"/>
  <c r="C43" i="1"/>
  <c r="G43" i="1" s="1"/>
  <c r="T42" i="1"/>
  <c r="M42" i="1"/>
  <c r="M43" i="1" s="1"/>
  <c r="G42" i="1"/>
  <c r="F42" i="1"/>
  <c r="T41" i="1"/>
  <c r="M41" i="1"/>
  <c r="G41" i="1"/>
  <c r="F41" i="1"/>
  <c r="F43" i="1" s="1"/>
  <c r="S40" i="1"/>
  <c r="R40" i="1"/>
  <c r="Q40" i="1"/>
  <c r="L40" i="1"/>
  <c r="K40" i="1"/>
  <c r="J40" i="1"/>
  <c r="F40" i="1"/>
  <c r="E40" i="1"/>
  <c r="D40" i="1"/>
  <c r="C40" i="1"/>
  <c r="G40" i="1" s="1"/>
  <c r="T39" i="1"/>
  <c r="M39" i="1"/>
  <c r="G39" i="1"/>
  <c r="F39" i="1"/>
  <c r="T38" i="1"/>
  <c r="T40" i="1" s="1"/>
  <c r="M38" i="1"/>
  <c r="M40" i="1" s="1"/>
  <c r="G38" i="1"/>
  <c r="F38" i="1"/>
  <c r="S37" i="1"/>
  <c r="R37" i="1"/>
  <c r="Q37" i="1"/>
  <c r="Q79" i="1" s="1"/>
  <c r="M37" i="1"/>
  <c r="L37" i="1"/>
  <c r="K37" i="1"/>
  <c r="J37" i="1"/>
  <c r="J79" i="1" s="1"/>
  <c r="J80" i="1" s="1"/>
  <c r="J124" i="1" s="1"/>
  <c r="E37" i="1"/>
  <c r="E79" i="1" s="1"/>
  <c r="D37" i="1"/>
  <c r="D79" i="1" s="1"/>
  <c r="C37" i="1"/>
  <c r="T36" i="1"/>
  <c r="M36" i="1"/>
  <c r="G36" i="1"/>
  <c r="F36" i="1"/>
  <c r="T35" i="1"/>
  <c r="T37" i="1" s="1"/>
  <c r="M35" i="1"/>
  <c r="G35" i="1"/>
  <c r="F35" i="1"/>
  <c r="F37" i="1" s="1"/>
  <c r="G34" i="1"/>
  <c r="G33" i="1"/>
  <c r="S32" i="1"/>
  <c r="T32" i="1" s="1"/>
  <c r="K32" i="1"/>
  <c r="M32" i="1" s="1"/>
  <c r="G32" i="1"/>
  <c r="F32" i="1"/>
  <c r="G31" i="1"/>
  <c r="S30" i="1"/>
  <c r="Q30" i="1"/>
  <c r="Q80" i="1" s="1"/>
  <c r="J30" i="1"/>
  <c r="E30" i="1"/>
  <c r="D30" i="1"/>
  <c r="C30" i="1"/>
  <c r="G30" i="1" s="1"/>
  <c r="G29" i="1"/>
  <c r="T28" i="1"/>
  <c r="M28" i="1"/>
  <c r="G28" i="1"/>
  <c r="F28" i="1"/>
  <c r="T27" i="1"/>
  <c r="M27" i="1"/>
  <c r="G27" i="1"/>
  <c r="F27" i="1"/>
  <c r="T26" i="1"/>
  <c r="M26" i="1"/>
  <c r="G26" i="1"/>
  <c r="F26" i="1"/>
  <c r="T25" i="1"/>
  <c r="M25" i="1"/>
  <c r="G25" i="1"/>
  <c r="F25" i="1"/>
  <c r="T24" i="1"/>
  <c r="K24" i="1"/>
  <c r="M24" i="1" s="1"/>
  <c r="G24" i="1"/>
  <c r="F24" i="1"/>
  <c r="T23" i="1"/>
  <c r="M23" i="1"/>
  <c r="G23" i="1"/>
  <c r="F23" i="1"/>
  <c r="T21" i="1"/>
  <c r="M21" i="1"/>
  <c r="K21" i="1"/>
  <c r="G21" i="1"/>
  <c r="F21" i="1"/>
  <c r="T19" i="1"/>
  <c r="M19" i="1"/>
  <c r="G19" i="1"/>
  <c r="F19" i="1"/>
  <c r="T18" i="1"/>
  <c r="M18" i="1"/>
  <c r="G18" i="1"/>
  <c r="F18" i="1"/>
  <c r="T17" i="1"/>
  <c r="K17" i="1"/>
  <c r="M17" i="1" s="1"/>
  <c r="G17" i="1"/>
  <c r="F17" i="1"/>
  <c r="T16" i="1"/>
  <c r="R16" i="1"/>
  <c r="M16" i="1"/>
  <c r="G16" i="1"/>
  <c r="F16" i="1"/>
  <c r="T15" i="1"/>
  <c r="R15" i="1"/>
  <c r="M15" i="1"/>
  <c r="G15" i="1"/>
  <c r="F15" i="1"/>
  <c r="T14" i="1"/>
  <c r="M14" i="1"/>
  <c r="K14" i="1"/>
  <c r="G14" i="1"/>
  <c r="F14" i="1"/>
  <c r="T13" i="1"/>
  <c r="M13" i="1"/>
  <c r="G13" i="1"/>
  <c r="F13" i="1"/>
  <c r="T12" i="1"/>
  <c r="T30" i="1" s="1"/>
  <c r="K12" i="1"/>
  <c r="M12" i="1" s="1"/>
  <c r="G12" i="1"/>
  <c r="F12" i="1"/>
  <c r="T11" i="1"/>
  <c r="M11" i="1"/>
  <c r="G11" i="1"/>
  <c r="F11" i="1"/>
  <c r="T10" i="1"/>
  <c r="M10" i="1"/>
  <c r="L10" i="1"/>
  <c r="G10" i="1"/>
  <c r="F10" i="1"/>
  <c r="T9" i="1"/>
  <c r="K9" i="1"/>
  <c r="M9" i="1" s="1"/>
  <c r="G9" i="1"/>
  <c r="F9" i="1"/>
  <c r="T8" i="1"/>
  <c r="M8" i="1"/>
  <c r="K8" i="1"/>
  <c r="G8" i="1"/>
  <c r="F8" i="1"/>
  <c r="L7" i="1"/>
  <c r="K7" i="1"/>
  <c r="M7" i="1" s="1"/>
  <c r="G7" i="1"/>
  <c r="F7" i="1"/>
  <c r="F30" i="1" s="1"/>
  <c r="T6" i="1"/>
  <c r="R6" i="1"/>
  <c r="R30" i="1" s="1"/>
  <c r="L6" i="1"/>
  <c r="M6" i="1" s="1"/>
  <c r="M30" i="1" s="1"/>
  <c r="K6" i="1"/>
  <c r="G6" i="1"/>
  <c r="F6" i="1"/>
  <c r="M113" i="1" l="1"/>
  <c r="F79" i="1"/>
  <c r="C79" i="1"/>
  <c r="G79" i="1" s="1"/>
  <c r="R79" i="1"/>
  <c r="E121" i="1"/>
  <c r="E122" i="1" s="1"/>
  <c r="L122" i="1"/>
  <c r="D80" i="1"/>
  <c r="D121" i="1" s="1"/>
  <c r="D122" i="1" s="1"/>
  <c r="K79" i="1"/>
  <c r="E80" i="1"/>
  <c r="L79" i="1"/>
  <c r="R80" i="1"/>
  <c r="R124" i="1" s="1"/>
  <c r="M101" i="1"/>
  <c r="T79" i="1"/>
  <c r="T80" i="1" s="1"/>
  <c r="F80" i="1"/>
  <c r="F121" i="1" s="1"/>
  <c r="Q124" i="1"/>
  <c r="K122" i="1"/>
  <c r="K30" i="1"/>
  <c r="T69" i="1"/>
  <c r="T71" i="1" s="1"/>
  <c r="G37" i="1"/>
  <c r="T84" i="1"/>
  <c r="T87" i="1" s="1"/>
  <c r="T122" i="1" s="1"/>
  <c r="C87" i="1"/>
  <c r="G87" i="1" s="1"/>
  <c r="M44" i="1"/>
  <c r="M46" i="1" s="1"/>
  <c r="M79" i="1" s="1"/>
  <c r="M80" i="1" s="1"/>
  <c r="C80" i="1"/>
  <c r="M84" i="1"/>
  <c r="M87" i="1" s="1"/>
  <c r="R46" i="1"/>
  <c r="G47" i="1"/>
  <c r="S65" i="1"/>
  <c r="S79" i="1" s="1"/>
  <c r="S80" i="1" s="1"/>
  <c r="S124" i="1" s="1"/>
  <c r="L30" i="1"/>
  <c r="L80" i="1" s="1"/>
  <c r="L124" i="1" s="1"/>
  <c r="M55" i="1"/>
  <c r="M65" i="1" s="1"/>
  <c r="G80" i="1" l="1"/>
  <c r="D124" i="1"/>
  <c r="T124" i="1"/>
  <c r="E124" i="1"/>
  <c r="K80" i="1"/>
  <c r="K124" i="1" s="1"/>
  <c r="M124" i="1" s="1"/>
  <c r="C122" i="1"/>
  <c r="G122" i="1" s="1"/>
  <c r="C124" i="1" l="1"/>
  <c r="G124" i="1" s="1"/>
  <c r="F1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tc={99F0530C-DB41-4169-B02C-93408C65F7E8}</author>
    <author>tc={1DB16980-C0BF-4402-A422-752FC5FB4620}</author>
  </authors>
  <commentList>
    <comment ref="L47" authorId="0" shapeId="0" xr:uid="{99F0530C-DB41-4169-B02C-93408C65F7E8}">
      <text>
        <t>[Threaded comment]
Your version of Excel allows you to read this threaded comment; however, any edits to it will get removed if the file is opened in a newer version of Excel. Learn more: https://go.microsoft.com/fwlink/?linkid=870924
Comment:
    Prior year</t>
      </text>
    </comment>
    <comment ref="S48" authorId="1" shapeId="0" xr:uid="{1DB16980-C0BF-4402-A422-752FC5FB4620}">
      <text>
        <t>[Threaded comment]
Your version of Excel allows you to read this threaded comment; however, any edits to it will get removed if the file is opened in a newer version of Excel. Learn more: https://go.microsoft.com/fwlink/?linkid=870924
Comment:
    Prior year</t>
      </text>
    </comment>
  </commentList>
</comments>
</file>

<file path=xl/sharedStrings.xml><?xml version="1.0" encoding="utf-8"?>
<sst xmlns="http://schemas.openxmlformats.org/spreadsheetml/2006/main" count="375" uniqueCount="141">
  <si>
    <t xml:space="preserve">Proposed Budget Report PS 221 PTA Actuals-(September 2023-June2024)--&gt;Proposed </t>
  </si>
  <si>
    <t xml:space="preserve">Proposed Budget Report PS 221 PTA Actuals-(September 2022-June2023)--&gt;Proposed </t>
  </si>
  <si>
    <t>Proposed Budget Report PS 221 PTA Actuals-(September 2021-June2022)</t>
  </si>
  <si>
    <t>Budget</t>
  </si>
  <si>
    <t>Actuals</t>
  </si>
  <si>
    <t>Costs</t>
  </si>
  <si>
    <t>Variance</t>
  </si>
  <si>
    <t>Spend</t>
  </si>
  <si>
    <t>Variance to budget</t>
  </si>
  <si>
    <t>Fundraisers</t>
  </si>
  <si>
    <t>Comments</t>
  </si>
  <si>
    <t>School Store</t>
  </si>
  <si>
    <t>Fall Festival</t>
  </si>
  <si>
    <t>School Photos</t>
  </si>
  <si>
    <t>Cascon Cheesecake</t>
  </si>
  <si>
    <t>Miss Chocolate/Holiday Fair</t>
  </si>
  <si>
    <t>Five Below</t>
  </si>
  <si>
    <t xml:space="preserve">Are we doing this next year? </t>
  </si>
  <si>
    <t>Honey Gramz</t>
  </si>
  <si>
    <t>Scholastic Book Fair Spring</t>
  </si>
  <si>
    <t>Budget increased to 2K</t>
  </si>
  <si>
    <t>Plant Sale/Spring Gift Fair</t>
  </si>
  <si>
    <t>Carecycle</t>
  </si>
  <si>
    <t xml:space="preserve">Restaurant Nights </t>
  </si>
  <si>
    <t xml:space="preserve">What restaurants nights are we planning? </t>
  </si>
  <si>
    <t>Restaurant Nights (5th Grade Fundraiser)</t>
  </si>
  <si>
    <t>Square Art</t>
  </si>
  <si>
    <t>Mabel Label</t>
  </si>
  <si>
    <t>International Food Fair</t>
  </si>
  <si>
    <t xml:space="preserve">Are we planning on doing this? </t>
  </si>
  <si>
    <t>Basketball Team Funds</t>
  </si>
  <si>
    <t>Scholastic Book Fair Fall*</t>
  </si>
  <si>
    <t xml:space="preserve">Are we planning on doing 2 book fairs next year? </t>
  </si>
  <si>
    <t>Box Tops/Shop Rite Rewards</t>
  </si>
  <si>
    <t xml:space="preserve">Budget removed, we only made $2.70 this year. </t>
  </si>
  <si>
    <t>Raffles</t>
  </si>
  <si>
    <t>Removed</t>
  </si>
  <si>
    <t>Meadows Farm</t>
  </si>
  <si>
    <t>Vaccine Referral</t>
  </si>
  <si>
    <t>Summer Camp Expo</t>
  </si>
  <si>
    <t>TOTAL Fundraisers</t>
  </si>
  <si>
    <t>Membership</t>
  </si>
  <si>
    <t>Self Sustaining</t>
  </si>
  <si>
    <t>End Term Dinner Costs</t>
  </si>
  <si>
    <t>End Term Dinner Sales</t>
  </si>
  <si>
    <t>TOTAL End Term Dinner</t>
  </si>
  <si>
    <t>Fun &amp; Games (2 &amp; 3) Costs</t>
  </si>
  <si>
    <t>(-700.00)</t>
  </si>
  <si>
    <t xml:space="preserve">What's this? Will we do it next year? </t>
  </si>
  <si>
    <t>Fun &amp; Games (2 &amp; 3) Sales</t>
  </si>
  <si>
    <t>(+700.00)</t>
  </si>
  <si>
    <t>TOTAL Fun &amp; Games (2 &amp; 3)</t>
  </si>
  <si>
    <t>Costume Party Costs</t>
  </si>
  <si>
    <t>Costume Party Sales</t>
  </si>
  <si>
    <t>TOTAL Costume Party</t>
  </si>
  <si>
    <t>Staff Luncheon Costs</t>
  </si>
  <si>
    <t>Staff Luncheon Donations</t>
  </si>
  <si>
    <t>TOTAL Staff Luncheon</t>
  </si>
  <si>
    <t>5th Grade End Yr Events Costs</t>
  </si>
  <si>
    <t>Pearl please let me know if anything else needs to be part of the breakdown</t>
  </si>
  <si>
    <t xml:space="preserve">Yearbook </t>
  </si>
  <si>
    <t>Sr. Trip</t>
  </si>
  <si>
    <t>End of year party</t>
  </si>
  <si>
    <t>5th Grade Senior T-Shirts</t>
  </si>
  <si>
    <t>Misc 1</t>
  </si>
  <si>
    <t>Misc 2</t>
  </si>
  <si>
    <t>Misc 3</t>
  </si>
  <si>
    <t>5th Grade End Yr Events Sales</t>
  </si>
  <si>
    <t>Sr. Dues</t>
  </si>
  <si>
    <t>Boosters</t>
  </si>
  <si>
    <t>Cap/Gown</t>
  </si>
  <si>
    <t>Yearbook Ads</t>
  </si>
  <si>
    <t>TOTAL 5th Grade End Yr Events</t>
  </si>
  <si>
    <t>Last Year's 5th Grade Residual Costs</t>
  </si>
  <si>
    <t>Adding this in to account for things that come in from prior year 5th grade. 22-23 it's reported in cell L55.</t>
  </si>
  <si>
    <t>Last Year's 5th Grade Residual Sales</t>
  </si>
  <si>
    <t>TOTAL 5th Grade Year End</t>
  </si>
  <si>
    <t>TOTAL Yearbook</t>
  </si>
  <si>
    <t>Yearbook Costs</t>
  </si>
  <si>
    <t>This is broken up in 5th grade</t>
  </si>
  <si>
    <t>Yearbook Sales</t>
  </si>
  <si>
    <t>Movie Night</t>
  </si>
  <si>
    <t xml:space="preserve">Will we do this next year? </t>
  </si>
  <si>
    <t>TOTAL Fall Family Fun Night</t>
  </si>
  <si>
    <t>Spring Family Fun Night Costs</t>
  </si>
  <si>
    <t>(-1500.00)</t>
  </si>
  <si>
    <t>Spring Family Fun Night Sales</t>
  </si>
  <si>
    <t>(+1500.00)</t>
  </si>
  <si>
    <t>TOTAL Spring Family Night</t>
  </si>
  <si>
    <t>TOTAL Self Sustaining</t>
  </si>
  <si>
    <t>TOTAL INCOME</t>
  </si>
  <si>
    <t>Expenses</t>
  </si>
  <si>
    <t>Educational Enrichment Program</t>
  </si>
  <si>
    <t>Programming By Grade</t>
  </si>
  <si>
    <t>Lego Program</t>
  </si>
  <si>
    <t>Parent-Student Workshop</t>
  </si>
  <si>
    <t>TOTAL Programming</t>
  </si>
  <si>
    <t>PS 221 Support - Student Ed Materials</t>
  </si>
  <si>
    <t>3rd Grade Recorders</t>
  </si>
  <si>
    <t xml:space="preserve">Are we planning for any of these? </t>
  </si>
  <si>
    <t>4th Grade Ukelele</t>
  </si>
  <si>
    <t>Ballroom Dancing</t>
  </si>
  <si>
    <t>Curriculum Learning Supplies</t>
  </si>
  <si>
    <t>Assemblies/ School Events</t>
  </si>
  <si>
    <t>Renaissance Program</t>
  </si>
  <si>
    <t>TOTAL PS 221 Support - Student Ed Materials</t>
  </si>
  <si>
    <t>PS 221 Support-Oper &amp; Staff Appreciation</t>
  </si>
  <si>
    <t>Custodian Appreciation</t>
  </si>
  <si>
    <t>School Staff Holiday Gifts</t>
  </si>
  <si>
    <t xml:space="preserve">What was the consensus on this? </t>
  </si>
  <si>
    <t>Staff Retirees - Graduating Parents</t>
  </si>
  <si>
    <t xml:space="preserve">EOY gifts, what's the consensus on this? </t>
  </si>
  <si>
    <t>School Atrium</t>
  </si>
  <si>
    <t>TOTAL PS 221 Support-Oper &amp; Staff Appreciation</t>
  </si>
  <si>
    <t>PTA Operating Expenses</t>
  </si>
  <si>
    <t>Bank Fees</t>
  </si>
  <si>
    <t>Emergency Fund</t>
  </si>
  <si>
    <t>Hospitality-Meeting Refreshments</t>
  </si>
  <si>
    <t>Meeting Supervised Activity</t>
  </si>
  <si>
    <t>Postage</t>
  </si>
  <si>
    <t>President's Council Dues</t>
  </si>
  <si>
    <t xml:space="preserve">Website/ Technology </t>
  </si>
  <si>
    <t>Stationary Supplies</t>
  </si>
  <si>
    <t>Sunshine (Event Appreciation)</t>
  </si>
  <si>
    <t>Memorial Day Parade Supplies</t>
  </si>
  <si>
    <t>TOTAL PTA Operating Expenses</t>
  </si>
  <si>
    <t>Student Activities</t>
  </si>
  <si>
    <t>Fund-5th Grade Assistance</t>
  </si>
  <si>
    <t>Ice Cream Fun</t>
  </si>
  <si>
    <t>Field Day</t>
  </si>
  <si>
    <t xml:space="preserve">Allergy Awareness </t>
  </si>
  <si>
    <t>Multicultural Fair</t>
  </si>
  <si>
    <t>TOTAL Student Activities</t>
  </si>
  <si>
    <t>TOTAL EXPENSES</t>
  </si>
  <si>
    <t>TOTAL INCOME - EXPENSES</t>
  </si>
  <si>
    <t>Balance as of 7/1/2023</t>
  </si>
  <si>
    <t>Balance as of 7/1/2022</t>
  </si>
  <si>
    <t>Balance as of 7/1/2021</t>
  </si>
  <si>
    <t>Balance as of 6/30/2024</t>
  </si>
  <si>
    <t>Balance as of 6/30/2023</t>
  </si>
  <si>
    <t>Balance as of 6/30/2022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</si>
</sst>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</numFmts>
  <fonts count="40" x14ac:knownFonts="1">
    <font>
      <sz val="11"/>
      <color theme="1"/>
      <name val="Arial"/>
    </font>
    <font>
      <u/>
      <sz val="12"/>
      <color rgb="FF000000"/>
      <name val="Arial"/>
      <family val="2"/>
    </font>
    <font>
      <u/>
      <sz val="16"/>
      <color rgb="FF000000"/>
      <name val="Arial"/>
      <family val="2"/>
    </font>
    <font>
      <sz val="16"/>
      <color theme="1"/>
      <name val="Arial"/>
      <family val="2"/>
    </font>
    <font>
      <sz val="12"/>
      <color theme="1"/>
      <name val="Arial bold"/>
    </font>
    <font>
      <sz val="12"/>
      <name val="Arial bold"/>
    </font>
    <font>
      <sz val="10"/>
      <color rgb="FF000000"/>
      <name val="Arial bold"/>
    </font>
    <font>
      <sz val="11"/>
      <name val="Arial"/>
      <family val="2"/>
    </font>
    <font>
      <sz val="10"/>
      <name val="Arial bold"/>
    </font>
    <font>
      <sz val="26"/>
      <color theme="0"/>
      <name val="Arial bold"/>
    </font>
    <font>
      <sz val="10"/>
      <color theme="0"/>
      <name val="Arial bold"/>
    </font>
    <font>
      <sz val="26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color theme="6"/>
      <name val="Arial"/>
      <family val="2"/>
    </font>
    <font>
      <b/>
      <i/>
      <sz val="10"/>
      <color theme="1"/>
      <name val="Arial"/>
      <family val="2"/>
    </font>
    <font>
      <b/>
      <sz val="10"/>
      <name val="Arial bold"/>
    </font>
    <font>
      <b/>
      <sz val="10"/>
      <color theme="1"/>
      <name val="Arial bold"/>
    </font>
    <font>
      <b/>
      <i/>
      <sz val="10"/>
      <color rgb="FF000000"/>
      <name val="Arial"/>
      <family val="2"/>
    </font>
    <font>
      <b/>
      <sz val="10"/>
      <color rgb="FF000000"/>
      <name val="Arial bold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i/>
      <sz val="10"/>
      <color rgb="FF000000"/>
      <name val="Arial bold"/>
    </font>
    <font>
      <sz val="16"/>
      <color rgb="FF000000"/>
      <name val="Arial bold"/>
    </font>
    <font>
      <sz val="16"/>
      <name val="Arial"/>
      <family val="2"/>
    </font>
    <font>
      <i/>
      <sz val="10"/>
      <color theme="1"/>
      <name val="Arial bold"/>
    </font>
    <font>
      <strike/>
      <sz val="10"/>
      <color rgb="FF000000"/>
      <name val="Arial"/>
      <family val="2"/>
    </font>
    <font>
      <sz val="11"/>
      <color theme="0"/>
      <name val="Arial bold"/>
    </font>
    <font>
      <b/>
      <sz val="11"/>
      <name val="Arial bold"/>
    </font>
    <font>
      <sz val="16"/>
      <color theme="0"/>
      <name val="Arial bold"/>
    </font>
    <font>
      <sz val="16"/>
      <color theme="0"/>
      <name val="Arial"/>
      <family val="2"/>
    </font>
    <font>
      <b/>
      <sz val="16"/>
      <color rgb="FF000000"/>
      <name val="Arial"/>
      <family val="2"/>
    </font>
    <font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1"/>
        <bgColor indexed="64"/>
      </patternFill>
    </fill>
  </fills>
  <borders count="48">
    <border>
      <left/>
      <right/>
      <top/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right"/>
    </xf>
    <xf numFmtId="0" fontId="0" fillId="0" borderId="0" xfId="0"/>
    <xf numFmtId="0" fontId="7" fillId="0" borderId="2" xfId="0" applyFont="1" applyBorder="1"/>
    <xf numFmtId="0" fontId="8" fillId="0" borderId="3" xfId="0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9" fillId="2" borderId="4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left"/>
    </xf>
    <xf numFmtId="0" fontId="11" fillId="0" borderId="10" xfId="0" applyFont="1" applyBorder="1"/>
    <xf numFmtId="0" fontId="10" fillId="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2" fillId="0" borderId="12" xfId="0" applyFont="1" applyBorder="1" applyAlignment="1">
      <alignment vertical="top"/>
    </xf>
    <xf numFmtId="0" fontId="12" fillId="0" borderId="13" xfId="0" applyFont="1" applyBorder="1" applyAlignment="1">
      <alignment vertical="top"/>
    </xf>
    <xf numFmtId="44" fontId="13" fillId="0" borderId="14" xfId="0" applyNumberFormat="1" applyFont="1" applyBorder="1" applyAlignment="1">
      <alignment horizontal="center"/>
    </xf>
    <xf numFmtId="44" fontId="13" fillId="0" borderId="14" xfId="0" applyNumberFormat="1" applyFont="1" applyBorder="1"/>
    <xf numFmtId="44" fontId="13" fillId="0" borderId="15" xfId="0" applyNumberFormat="1" applyFont="1" applyBorder="1"/>
    <xf numFmtId="44" fontId="12" fillId="0" borderId="16" xfId="0" applyNumberFormat="1" applyFont="1" applyBorder="1" applyAlignment="1">
      <alignment horizontal="center"/>
    </xf>
    <xf numFmtId="44" fontId="14" fillId="0" borderId="0" xfId="0" applyNumberFormat="1" applyFont="1"/>
    <xf numFmtId="0" fontId="14" fillId="0" borderId="0" xfId="0" applyFont="1"/>
    <xf numFmtId="0" fontId="12" fillId="0" borderId="17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44" fontId="12" fillId="0" borderId="14" xfId="0" applyNumberFormat="1" applyFont="1" applyBorder="1" applyAlignment="1">
      <alignment horizontal="center"/>
    </xf>
    <xf numFmtId="44" fontId="15" fillId="0" borderId="14" xfId="0" applyNumberFormat="1" applyFont="1" applyBorder="1" applyAlignment="1">
      <alignment horizontal="center"/>
    </xf>
    <xf numFmtId="44" fontId="15" fillId="0" borderId="15" xfId="0" applyNumberFormat="1" applyFont="1" applyBorder="1" applyAlignment="1">
      <alignment horizontal="center"/>
    </xf>
    <xf numFmtId="44" fontId="15" fillId="0" borderId="16" xfId="0" applyNumberFormat="1" applyFont="1" applyBorder="1" applyAlignment="1">
      <alignment horizontal="center"/>
    </xf>
    <xf numFmtId="44" fontId="13" fillId="4" borderId="14" xfId="0" applyNumberFormat="1" applyFont="1" applyFill="1" applyBorder="1" applyAlignment="1">
      <alignment horizontal="center"/>
    </xf>
    <xf numFmtId="0" fontId="15" fillId="0" borderId="17" xfId="0" applyFont="1" applyBorder="1" applyAlignment="1">
      <alignment vertical="top"/>
    </xf>
    <xf numFmtId="0" fontId="15" fillId="0" borderId="14" xfId="0" applyFont="1" applyBorder="1" applyAlignment="1">
      <alignment vertical="top"/>
    </xf>
    <xf numFmtId="44" fontId="16" fillId="5" borderId="14" xfId="0" applyNumberFormat="1" applyFont="1" applyFill="1" applyBorder="1" applyAlignment="1">
      <alignment horizontal="center"/>
    </xf>
    <xf numFmtId="44" fontId="16" fillId="5" borderId="15" xfId="0" applyNumberFormat="1" applyFont="1" applyFill="1" applyBorder="1" applyAlignment="1">
      <alignment horizontal="center"/>
    </xf>
    <xf numFmtId="0" fontId="12" fillId="4" borderId="12" xfId="0" applyFont="1" applyFill="1" applyBorder="1" applyAlignment="1">
      <alignment vertical="top"/>
    </xf>
    <xf numFmtId="0" fontId="12" fillId="4" borderId="13" xfId="0" applyFont="1" applyFill="1" applyBorder="1" applyAlignment="1">
      <alignment vertical="top"/>
    </xf>
    <xf numFmtId="44" fontId="13" fillId="4" borderId="14" xfId="0" applyNumberFormat="1" applyFont="1" applyFill="1" applyBorder="1"/>
    <xf numFmtId="44" fontId="13" fillId="4" borderId="15" xfId="0" applyNumberFormat="1" applyFont="1" applyFill="1" applyBorder="1"/>
    <xf numFmtId="44" fontId="12" fillId="4" borderId="16" xfId="0" applyNumberFormat="1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44" fontId="13" fillId="0" borderId="15" xfId="0" applyNumberFormat="1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44" fontId="18" fillId="0" borderId="14" xfId="0" applyNumberFormat="1" applyFont="1" applyBorder="1" applyAlignment="1">
      <alignment horizontal="center"/>
    </xf>
    <xf numFmtId="44" fontId="18" fillId="0" borderId="15" xfId="0" applyNumberFormat="1" applyFont="1" applyBorder="1" applyAlignment="1">
      <alignment horizontal="center"/>
    </xf>
    <xf numFmtId="44" fontId="19" fillId="0" borderId="16" xfId="0" applyNumberFormat="1" applyFont="1" applyBorder="1" applyAlignment="1">
      <alignment horizontal="center"/>
    </xf>
    <xf numFmtId="44" fontId="18" fillId="0" borderId="16" xfId="0" applyNumberFormat="1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7" fillId="0" borderId="14" xfId="0" applyFont="1" applyBorder="1"/>
    <xf numFmtId="44" fontId="21" fillId="0" borderId="14" xfId="0" applyNumberFormat="1" applyFont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5" fillId="0" borderId="17" xfId="0" applyFont="1" applyBorder="1" applyAlignment="1">
      <alignment horizontal="left"/>
    </xf>
    <xf numFmtId="0" fontId="22" fillId="0" borderId="18" xfId="0" applyFont="1" applyBorder="1" applyAlignment="1">
      <alignment horizontal="left"/>
    </xf>
    <xf numFmtId="0" fontId="22" fillId="0" borderId="19" xfId="0" applyFont="1" applyBorder="1" applyAlignment="1">
      <alignment horizontal="left"/>
    </xf>
    <xf numFmtId="44" fontId="23" fillId="0" borderId="20" xfId="0" applyNumberFormat="1" applyFont="1" applyBorder="1" applyAlignment="1">
      <alignment horizontal="center"/>
    </xf>
    <xf numFmtId="44" fontId="13" fillId="0" borderId="20" xfId="0" applyNumberFormat="1" applyFont="1" applyBorder="1"/>
    <xf numFmtId="44" fontId="13" fillId="0" borderId="21" xfId="0" applyNumberFormat="1" applyFont="1" applyBorder="1"/>
    <xf numFmtId="44" fontId="24" fillId="0" borderId="22" xfId="0" applyNumberFormat="1" applyFont="1" applyBorder="1" applyAlignment="1">
      <alignment horizontal="center"/>
    </xf>
    <xf numFmtId="0" fontId="25" fillId="0" borderId="23" xfId="0" applyFont="1" applyBorder="1" applyAlignment="1">
      <alignment horizontal="left"/>
    </xf>
    <xf numFmtId="0" fontId="7" fillId="0" borderId="20" xfId="0" applyFont="1" applyBorder="1"/>
    <xf numFmtId="44" fontId="26" fillId="0" borderId="20" xfId="0" applyNumberFormat="1" applyFont="1" applyBorder="1" applyAlignment="1">
      <alignment horizontal="center"/>
    </xf>
    <xf numFmtId="44" fontId="26" fillId="0" borderId="21" xfId="0" applyNumberFormat="1" applyFont="1" applyBorder="1" applyAlignment="1">
      <alignment horizontal="center"/>
    </xf>
    <xf numFmtId="44" fontId="26" fillId="0" borderId="22" xfId="0" applyNumberFormat="1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7" fillId="0" borderId="0" xfId="0" applyFont="1"/>
    <xf numFmtId="0" fontId="7" fillId="0" borderId="25" xfId="0" applyFont="1" applyBorder="1"/>
    <xf numFmtId="0" fontId="15" fillId="0" borderId="26" xfId="0" applyFont="1" applyBorder="1" applyAlignment="1">
      <alignment horizontal="center"/>
    </xf>
    <xf numFmtId="0" fontId="10" fillId="2" borderId="9" xfId="0" applyFont="1" applyFill="1" applyBorder="1" applyAlignment="1">
      <alignment horizontal="left"/>
    </xf>
    <xf numFmtId="0" fontId="7" fillId="0" borderId="10" xfId="0" applyFont="1" applyBorder="1"/>
    <xf numFmtId="164" fontId="13" fillId="0" borderId="10" xfId="0" applyNumberFormat="1" applyFont="1" applyBorder="1" applyAlignment="1">
      <alignment horizontal="center"/>
    </xf>
    <xf numFmtId="0" fontId="7" fillId="0" borderId="11" xfId="0" applyFont="1" applyBorder="1"/>
    <xf numFmtId="0" fontId="10" fillId="2" borderId="9" xfId="0" applyFont="1" applyFill="1" applyBorder="1" applyAlignment="1">
      <alignment horizontal="left"/>
    </xf>
    <xf numFmtId="44" fontId="15" fillId="0" borderId="17" xfId="0" applyNumberFormat="1" applyFont="1" applyBorder="1" applyAlignment="1">
      <alignment horizontal="left"/>
    </xf>
    <xf numFmtId="44" fontId="15" fillId="0" borderId="14" xfId="0" applyNumberFormat="1" applyFont="1" applyBorder="1"/>
    <xf numFmtId="44" fontId="15" fillId="0" borderId="14" xfId="0" applyNumberFormat="1" applyFont="1" applyBorder="1" applyAlignment="1">
      <alignment horizontal="left"/>
    </xf>
    <xf numFmtId="44" fontId="15" fillId="0" borderId="14" xfId="0" applyNumberFormat="1" applyFont="1" applyBorder="1" applyAlignment="1">
      <alignment horizontal="right"/>
    </xf>
    <xf numFmtId="44" fontId="15" fillId="0" borderId="17" xfId="0" applyNumberFormat="1" applyFont="1" applyBorder="1"/>
    <xf numFmtId="0" fontId="0" fillId="0" borderId="0" xfId="0" applyAlignment="1">
      <alignment horizontal="right"/>
    </xf>
    <xf numFmtId="44" fontId="15" fillId="0" borderId="27" xfId="0" applyNumberFormat="1" applyFont="1" applyBorder="1"/>
    <xf numFmtId="44" fontId="15" fillId="0" borderId="28" xfId="0" applyNumberFormat="1" applyFont="1" applyBorder="1" applyAlignment="1">
      <alignment horizontal="right"/>
    </xf>
    <xf numFmtId="44" fontId="15" fillId="0" borderId="28" xfId="0" applyNumberFormat="1" applyFont="1" applyBorder="1" applyAlignment="1">
      <alignment horizontal="center"/>
    </xf>
    <xf numFmtId="44" fontId="15" fillId="0" borderId="29" xfId="0" applyNumberFormat="1" applyFont="1" applyBorder="1" applyAlignment="1">
      <alignment horizontal="center"/>
    </xf>
    <xf numFmtId="44" fontId="20" fillId="0" borderId="12" xfId="0" applyNumberFormat="1" applyFont="1" applyBorder="1" applyAlignment="1">
      <alignment horizontal="right"/>
    </xf>
    <xf numFmtId="44" fontId="20" fillId="0" borderId="13" xfId="0" applyNumberFormat="1" applyFont="1" applyBorder="1" applyAlignment="1">
      <alignment horizontal="right"/>
    </xf>
    <xf numFmtId="44" fontId="13" fillId="0" borderId="14" xfId="0" applyNumberFormat="1" applyFont="1" applyBorder="1" applyAlignment="1">
      <alignment horizontal="right"/>
    </xf>
    <xf numFmtId="44" fontId="13" fillId="0" borderId="15" xfId="0" applyNumberFormat="1" applyFont="1" applyBorder="1" applyAlignment="1">
      <alignment horizontal="right"/>
    </xf>
    <xf numFmtId="44" fontId="20" fillId="0" borderId="14" xfId="0" applyNumberFormat="1" applyFont="1" applyBorder="1" applyAlignment="1">
      <alignment horizontal="right"/>
    </xf>
    <xf numFmtId="44" fontId="20" fillId="0" borderId="17" xfId="0" applyNumberFormat="1" applyFont="1" applyBorder="1" applyAlignment="1">
      <alignment horizontal="right"/>
    </xf>
    <xf numFmtId="44" fontId="27" fillId="0" borderId="14" xfId="0" applyNumberFormat="1" applyFont="1" applyBorder="1" applyAlignment="1">
      <alignment horizontal="right"/>
    </xf>
    <xf numFmtId="44" fontId="20" fillId="6" borderId="30" xfId="0" applyNumberFormat="1" applyFont="1" applyFill="1" applyBorder="1" applyAlignment="1">
      <alignment horizontal="right"/>
    </xf>
    <xf numFmtId="44" fontId="27" fillId="6" borderId="31" xfId="0" applyNumberFormat="1" applyFont="1" applyFill="1" applyBorder="1" applyAlignment="1">
      <alignment horizontal="right"/>
    </xf>
    <xf numFmtId="44" fontId="15" fillId="6" borderId="31" xfId="0" applyNumberFormat="1" applyFont="1" applyFill="1" applyBorder="1" applyAlignment="1">
      <alignment horizontal="center"/>
    </xf>
    <xf numFmtId="44" fontId="15" fillId="6" borderId="32" xfId="0" applyNumberFormat="1" applyFont="1" applyFill="1" applyBorder="1" applyAlignment="1">
      <alignment horizontal="center"/>
    </xf>
    <xf numFmtId="44" fontId="15" fillId="6" borderId="33" xfId="0" applyNumberFormat="1" applyFont="1" applyFill="1" applyBorder="1" applyAlignment="1">
      <alignment horizontal="center"/>
    </xf>
    <xf numFmtId="44" fontId="15" fillId="4" borderId="17" xfId="0" applyNumberFormat="1" applyFont="1" applyFill="1" applyBorder="1" applyAlignment="1">
      <alignment horizontal="left"/>
    </xf>
    <xf numFmtId="44" fontId="15" fillId="4" borderId="14" xfId="0" applyNumberFormat="1" applyFont="1" applyFill="1" applyBorder="1"/>
    <xf numFmtId="44" fontId="15" fillId="4" borderId="14" xfId="0" applyNumberFormat="1" applyFont="1" applyFill="1" applyBorder="1" applyAlignment="1">
      <alignment horizontal="left"/>
    </xf>
    <xf numFmtId="44" fontId="15" fillId="0" borderId="34" xfId="0" applyNumberFormat="1" applyFont="1" applyBorder="1" applyAlignment="1">
      <alignment horizontal="left"/>
    </xf>
    <xf numFmtId="44" fontId="15" fillId="0" borderId="35" xfId="0" applyNumberFormat="1" applyFont="1" applyBorder="1" applyAlignment="1">
      <alignment horizontal="right"/>
    </xf>
    <xf numFmtId="44" fontId="15" fillId="0" borderId="35" xfId="0" applyNumberFormat="1" applyFont="1" applyBorder="1" applyAlignment="1">
      <alignment horizontal="center"/>
    </xf>
    <xf numFmtId="44" fontId="15" fillId="0" borderId="36" xfId="0" applyNumberFormat="1" applyFont="1" applyBorder="1" applyAlignment="1">
      <alignment horizontal="center"/>
    </xf>
    <xf numFmtId="44" fontId="15" fillId="0" borderId="37" xfId="0" applyNumberFormat="1" applyFont="1" applyBorder="1" applyAlignment="1">
      <alignment horizontal="center"/>
    </xf>
    <xf numFmtId="44" fontId="15" fillId="0" borderId="27" xfId="0" applyNumberFormat="1" applyFont="1" applyBorder="1" applyAlignment="1">
      <alignment horizontal="left"/>
    </xf>
    <xf numFmtId="44" fontId="15" fillId="0" borderId="38" xfId="0" applyNumberFormat="1" applyFont="1" applyBorder="1" applyAlignment="1">
      <alignment horizontal="center"/>
    </xf>
    <xf numFmtId="44" fontId="20" fillId="4" borderId="17" xfId="0" applyNumberFormat="1" applyFont="1" applyFill="1" applyBorder="1" applyAlignment="1">
      <alignment horizontal="right"/>
    </xf>
    <xf numFmtId="44" fontId="27" fillId="4" borderId="14" xfId="0" applyNumberFormat="1" applyFont="1" applyFill="1" applyBorder="1" applyAlignment="1">
      <alignment horizontal="right"/>
    </xf>
    <xf numFmtId="44" fontId="13" fillId="4" borderId="14" xfId="0" applyNumberFormat="1" applyFont="1" applyFill="1" applyBorder="1" applyAlignment="1">
      <alignment horizontal="right"/>
    </xf>
    <xf numFmtId="44" fontId="13" fillId="4" borderId="15" xfId="0" applyNumberFormat="1" applyFont="1" applyFill="1" applyBorder="1" applyAlignment="1">
      <alignment horizontal="right"/>
    </xf>
    <xf numFmtId="44" fontId="20" fillId="4" borderId="14" xfId="0" applyNumberFormat="1" applyFont="1" applyFill="1" applyBorder="1" applyAlignment="1">
      <alignment horizontal="right"/>
    </xf>
    <xf numFmtId="44" fontId="28" fillId="6" borderId="32" xfId="0" applyNumberFormat="1" applyFont="1" applyFill="1" applyBorder="1" applyAlignment="1">
      <alignment horizontal="center"/>
    </xf>
    <xf numFmtId="44" fontId="15" fillId="7" borderId="17" xfId="0" applyNumberFormat="1" applyFont="1" applyFill="1" applyBorder="1" applyAlignment="1">
      <alignment horizontal="left"/>
    </xf>
    <xf numFmtId="44" fontId="15" fillId="3" borderId="17" xfId="0" applyNumberFormat="1" applyFont="1" applyFill="1" applyBorder="1" applyAlignment="1">
      <alignment horizontal="left"/>
    </xf>
    <xf numFmtId="44" fontId="15" fillId="3" borderId="14" xfId="0" applyNumberFormat="1" applyFont="1" applyFill="1" applyBorder="1" applyAlignment="1">
      <alignment horizontal="left"/>
    </xf>
    <xf numFmtId="0" fontId="0" fillId="0" borderId="39" xfId="0" applyBorder="1" applyAlignment="1">
      <alignment horizontal="center" vertical="center" wrapText="1"/>
    </xf>
    <xf numFmtId="44" fontId="15" fillId="3" borderId="34" xfId="0" applyNumberFormat="1" applyFont="1" applyFill="1" applyBorder="1" applyAlignment="1">
      <alignment horizontal="left"/>
    </xf>
    <xf numFmtId="44" fontId="16" fillId="5" borderId="36" xfId="0" applyNumberFormat="1" applyFont="1" applyFill="1" applyBorder="1" applyAlignment="1">
      <alignment horizontal="center"/>
    </xf>
    <xf numFmtId="165" fontId="15" fillId="7" borderId="17" xfId="0" applyNumberFormat="1" applyFont="1" applyFill="1" applyBorder="1" applyAlignment="1">
      <alignment horizontal="left" indent="5"/>
    </xf>
    <xf numFmtId="165" fontId="15" fillId="0" borderId="17" xfId="0" applyNumberFormat="1" applyFont="1" applyBorder="1" applyAlignment="1">
      <alignment horizontal="left" indent="5"/>
    </xf>
    <xf numFmtId="44" fontId="15" fillId="7" borderId="14" xfId="0" applyNumberFormat="1" applyFont="1" applyFill="1" applyBorder="1" applyAlignment="1">
      <alignment horizontal="left"/>
    </xf>
    <xf numFmtId="44" fontId="26" fillId="3" borderId="17" xfId="0" applyNumberFormat="1" applyFont="1" applyFill="1" applyBorder="1" applyAlignment="1">
      <alignment horizontal="right"/>
    </xf>
    <xf numFmtId="44" fontId="26" fillId="3" borderId="14" xfId="0" applyNumberFormat="1" applyFont="1" applyFill="1" applyBorder="1" applyAlignment="1">
      <alignment horizontal="right"/>
    </xf>
    <xf numFmtId="44" fontId="26" fillId="8" borderId="30" xfId="0" applyNumberFormat="1" applyFont="1" applyFill="1" applyBorder="1" applyAlignment="1">
      <alignment horizontal="right"/>
    </xf>
    <xf numFmtId="0" fontId="0" fillId="0" borderId="39" xfId="0" applyBorder="1" applyAlignment="1">
      <alignment horizontal="center" wrapText="1"/>
    </xf>
    <xf numFmtId="44" fontId="20" fillId="7" borderId="17" xfId="0" applyNumberFormat="1" applyFont="1" applyFill="1" applyBorder="1" applyAlignment="1">
      <alignment horizontal="right"/>
    </xf>
    <xf numFmtId="44" fontId="20" fillId="7" borderId="14" xfId="0" applyNumberFormat="1" applyFont="1" applyFill="1" applyBorder="1" applyAlignment="1">
      <alignment horizontal="right"/>
    </xf>
    <xf numFmtId="44" fontId="20" fillId="3" borderId="17" xfId="0" applyNumberFormat="1" applyFont="1" applyFill="1" applyBorder="1" applyAlignment="1">
      <alignment horizontal="right"/>
    </xf>
    <xf numFmtId="44" fontId="20" fillId="3" borderId="14" xfId="0" applyNumberFormat="1" applyFont="1" applyFill="1" applyBorder="1" applyAlignment="1">
      <alignment horizontal="right"/>
    </xf>
    <xf numFmtId="44" fontId="16" fillId="5" borderId="38" xfId="0" applyNumberFormat="1" applyFont="1" applyFill="1" applyBorder="1" applyAlignment="1">
      <alignment horizontal="center"/>
    </xf>
    <xf numFmtId="44" fontId="20" fillId="8" borderId="30" xfId="0" applyNumberFormat="1" applyFont="1" applyFill="1" applyBorder="1" applyAlignment="1">
      <alignment horizontal="right"/>
    </xf>
    <xf numFmtId="44" fontId="12" fillId="0" borderId="14" xfId="0" applyNumberFormat="1" applyFont="1" applyBorder="1"/>
    <xf numFmtId="44" fontId="12" fillId="0" borderId="35" xfId="0" applyNumberFormat="1" applyFont="1" applyBorder="1" applyAlignment="1">
      <alignment horizontal="right"/>
    </xf>
    <xf numFmtId="44" fontId="20" fillId="0" borderId="14" xfId="0" applyNumberFormat="1" applyFont="1" applyBorder="1" applyAlignment="1">
      <alignment horizontal="right"/>
    </xf>
    <xf numFmtId="44" fontId="20" fillId="6" borderId="31" xfId="0" applyNumberFormat="1" applyFont="1" applyFill="1" applyBorder="1" applyAlignment="1">
      <alignment horizontal="right"/>
    </xf>
    <xf numFmtId="44" fontId="15" fillId="0" borderId="17" xfId="0" applyNumberFormat="1" applyFont="1" applyBorder="1" applyAlignment="1">
      <alignment horizontal="center"/>
    </xf>
    <xf numFmtId="44" fontId="7" fillId="0" borderId="14" xfId="0" applyNumberFormat="1" applyFont="1" applyBorder="1"/>
    <xf numFmtId="44" fontId="7" fillId="0" borderId="15" xfId="0" applyNumberFormat="1" applyFont="1" applyBorder="1"/>
    <xf numFmtId="44" fontId="15" fillId="0" borderId="34" xfId="0" applyNumberFormat="1" applyFont="1" applyBorder="1" applyAlignment="1">
      <alignment horizontal="center"/>
    </xf>
    <xf numFmtId="44" fontId="7" fillId="0" borderId="35" xfId="0" applyNumberFormat="1" applyFont="1" applyBorder="1"/>
    <xf numFmtId="44" fontId="7" fillId="0" borderId="36" xfId="0" applyNumberFormat="1" applyFont="1" applyBorder="1"/>
    <xf numFmtId="44" fontId="7" fillId="0" borderId="37" xfId="0" applyNumberFormat="1" applyFont="1" applyBorder="1"/>
    <xf numFmtId="44" fontId="29" fillId="0" borderId="17" xfId="0" applyNumberFormat="1" applyFont="1" applyBorder="1" applyAlignment="1">
      <alignment horizontal="center"/>
    </xf>
    <xf numFmtId="44" fontId="8" fillId="0" borderId="14" xfId="0" applyNumberFormat="1" applyFont="1" applyBorder="1"/>
    <xf numFmtId="44" fontId="8" fillId="0" borderId="15" xfId="0" applyNumberFormat="1" applyFont="1" applyBorder="1"/>
    <xf numFmtId="44" fontId="29" fillId="0" borderId="14" xfId="0" applyNumberFormat="1" applyFont="1" applyBorder="1" applyAlignment="1">
      <alignment horizontal="center"/>
    </xf>
    <xf numFmtId="44" fontId="6" fillId="0" borderId="14" xfId="0" applyNumberFormat="1" applyFont="1" applyBorder="1" applyAlignment="1">
      <alignment horizontal="center"/>
    </xf>
    <xf numFmtId="44" fontId="6" fillId="0" borderId="15" xfId="0" applyNumberFormat="1" applyFont="1" applyBorder="1" applyAlignment="1">
      <alignment horizontal="center"/>
    </xf>
    <xf numFmtId="44" fontId="6" fillId="0" borderId="16" xfId="0" applyNumberFormat="1" applyFont="1" applyBorder="1" applyAlignment="1">
      <alignment horizontal="center"/>
    </xf>
    <xf numFmtId="44" fontId="6" fillId="0" borderId="23" xfId="0" applyNumberFormat="1" applyFont="1" applyBorder="1"/>
    <xf numFmtId="44" fontId="7" fillId="0" borderId="20" xfId="0" applyNumberFormat="1" applyFont="1" applyBorder="1"/>
    <xf numFmtId="44" fontId="8" fillId="0" borderId="20" xfId="0" applyNumberFormat="1" applyFont="1" applyBorder="1"/>
    <xf numFmtId="44" fontId="8" fillId="0" borderId="21" xfId="0" applyNumberFormat="1" applyFont="1" applyBorder="1"/>
    <xf numFmtId="44" fontId="6" fillId="0" borderId="20" xfId="0" applyNumberFormat="1" applyFont="1" applyBorder="1"/>
    <xf numFmtId="44" fontId="30" fillId="0" borderId="23" xfId="0" applyNumberFormat="1" applyFont="1" applyBorder="1"/>
    <xf numFmtId="44" fontId="31" fillId="0" borderId="20" xfId="0" applyNumberFormat="1" applyFont="1" applyBorder="1"/>
    <xf numFmtId="44" fontId="30" fillId="0" borderId="20" xfId="0" applyNumberFormat="1" applyFont="1" applyBorder="1" applyAlignment="1">
      <alignment horizontal="center"/>
    </xf>
    <xf numFmtId="44" fontId="30" fillId="0" borderId="21" xfId="0" applyNumberFormat="1" applyFont="1" applyBorder="1" applyAlignment="1">
      <alignment horizontal="center"/>
    </xf>
    <xf numFmtId="44" fontId="30" fillId="0" borderId="22" xfId="0" applyNumberFormat="1" applyFont="1" applyBorder="1" applyAlignment="1">
      <alignment horizontal="center"/>
    </xf>
    <xf numFmtId="164" fontId="15" fillId="0" borderId="24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8" fillId="3" borderId="10" xfId="0" applyFont="1" applyFill="1" applyBorder="1" applyAlignment="1">
      <alignment horizontal="center"/>
    </xf>
    <xf numFmtId="40" fontId="6" fillId="0" borderId="17" xfId="0" applyNumberFormat="1" applyFont="1" applyBorder="1"/>
    <xf numFmtId="40" fontId="7" fillId="0" borderId="14" xfId="0" applyNumberFormat="1" applyFont="1" applyBorder="1"/>
    <xf numFmtId="40" fontId="8" fillId="0" borderId="14" xfId="0" applyNumberFormat="1" applyFont="1" applyBorder="1"/>
    <xf numFmtId="40" fontId="13" fillId="0" borderId="14" xfId="0" applyNumberFormat="1" applyFont="1" applyBorder="1"/>
    <xf numFmtId="40" fontId="13" fillId="0" borderId="16" xfId="0" applyNumberFormat="1" applyFont="1" applyBorder="1"/>
    <xf numFmtId="40" fontId="6" fillId="0" borderId="17" xfId="0" applyNumberFormat="1" applyFont="1" applyBorder="1"/>
    <xf numFmtId="40" fontId="6" fillId="0" borderId="14" xfId="0" applyNumberFormat="1" applyFont="1" applyBorder="1" applyAlignment="1">
      <alignment horizontal="center"/>
    </xf>
    <xf numFmtId="40" fontId="15" fillId="0" borderId="14" xfId="0" applyNumberFormat="1" applyFont="1" applyBorder="1" applyAlignment="1">
      <alignment horizontal="center"/>
    </xf>
    <xf numFmtId="40" fontId="15" fillId="0" borderId="15" xfId="0" applyNumberFormat="1" applyFont="1" applyBorder="1" applyAlignment="1">
      <alignment horizontal="center"/>
    </xf>
    <xf numFmtId="40" fontId="15" fillId="0" borderId="16" xfId="0" applyNumberFormat="1" applyFont="1" applyBorder="1" applyAlignment="1">
      <alignment horizontal="center"/>
    </xf>
    <xf numFmtId="44" fontId="12" fillId="0" borderId="17" xfId="0" applyNumberFormat="1" applyFont="1" applyBorder="1"/>
    <xf numFmtId="44" fontId="14" fillId="0" borderId="14" xfId="0" applyNumberFormat="1" applyFont="1" applyBorder="1"/>
    <xf numFmtId="44" fontId="13" fillId="0" borderId="16" xfId="0" applyNumberFormat="1" applyFont="1" applyBorder="1"/>
    <xf numFmtId="44" fontId="12" fillId="0" borderId="17" xfId="0" applyNumberFormat="1" applyFont="1" applyBorder="1" applyAlignment="1">
      <alignment horizontal="left"/>
    </xf>
    <xf numFmtId="44" fontId="12" fillId="0" borderId="17" xfId="0" applyNumberFormat="1" applyFont="1" applyBorder="1" applyAlignment="1">
      <alignment horizontal="left" indent="3"/>
    </xf>
    <xf numFmtId="44" fontId="7" fillId="0" borderId="14" xfId="0" applyNumberFormat="1" applyFont="1" applyBorder="1" applyAlignment="1">
      <alignment horizontal="left" indent="3"/>
    </xf>
    <xf numFmtId="44" fontId="15" fillId="4" borderId="17" xfId="0" applyNumberFormat="1" applyFont="1" applyFill="1" applyBorder="1" applyAlignment="1">
      <alignment horizontal="left"/>
    </xf>
    <xf numFmtId="44" fontId="7" fillId="4" borderId="14" xfId="0" applyNumberFormat="1" applyFont="1" applyFill="1" applyBorder="1"/>
    <xf numFmtId="44" fontId="13" fillId="4" borderId="16" xfId="0" applyNumberFormat="1" applyFont="1" applyFill="1" applyBorder="1"/>
    <xf numFmtId="44" fontId="15" fillId="0" borderId="17" xfId="0" applyNumberFormat="1" applyFont="1" applyBorder="1" applyAlignment="1">
      <alignment horizontal="left"/>
    </xf>
    <xf numFmtId="44" fontId="12" fillId="0" borderId="17" xfId="0" applyNumberFormat="1" applyFont="1" applyBorder="1" applyAlignment="1">
      <alignment horizontal="left"/>
    </xf>
    <xf numFmtId="44" fontId="14" fillId="0" borderId="14" xfId="0" applyNumberFormat="1" applyFont="1" applyBorder="1"/>
    <xf numFmtId="44" fontId="15" fillId="0" borderId="17" xfId="0" applyNumberFormat="1" applyFont="1" applyBorder="1" applyAlignment="1">
      <alignment horizontal="left" indent="3"/>
    </xf>
    <xf numFmtId="44" fontId="32" fillId="0" borderId="17" xfId="0" applyNumberFormat="1" applyFont="1" applyBorder="1" applyAlignment="1">
      <alignment horizontal="center"/>
    </xf>
    <xf numFmtId="44" fontId="8" fillId="0" borderId="16" xfId="0" applyNumberFormat="1" applyFont="1" applyBorder="1"/>
    <xf numFmtId="44" fontId="32" fillId="0" borderId="17" xfId="0" applyNumberFormat="1" applyFont="1" applyBorder="1" applyAlignment="1">
      <alignment horizontal="center"/>
    </xf>
    <xf numFmtId="44" fontId="10" fillId="2" borderId="17" xfId="0" applyNumberFormat="1" applyFont="1" applyFill="1" applyBorder="1"/>
    <xf numFmtId="44" fontId="13" fillId="0" borderId="14" xfId="0" applyNumberFormat="1" applyFont="1" applyBorder="1" applyAlignment="1">
      <alignment horizontal="center"/>
    </xf>
    <xf numFmtId="44" fontId="7" fillId="0" borderId="16" xfId="0" applyNumberFormat="1" applyFont="1" applyBorder="1"/>
    <xf numFmtId="44" fontId="10" fillId="2" borderId="17" xfId="0" applyNumberFormat="1" applyFont="1" applyFill="1" applyBorder="1"/>
    <xf numFmtId="44" fontId="15" fillId="0" borderId="12" xfId="0" applyNumberFormat="1" applyFont="1" applyBorder="1" applyAlignment="1">
      <alignment horizontal="left" indent="3"/>
    </xf>
    <xf numFmtId="44" fontId="15" fillId="0" borderId="13" xfId="0" applyNumberFormat="1" applyFont="1" applyBorder="1" applyAlignment="1">
      <alignment horizontal="left" indent="3"/>
    </xf>
    <xf numFmtId="44" fontId="29" fillId="0" borderId="17" xfId="0" applyNumberFormat="1" applyFont="1" applyBorder="1" applyAlignment="1">
      <alignment horizontal="center"/>
    </xf>
    <xf numFmtId="44" fontId="7" fillId="0" borderId="14" xfId="0" applyNumberFormat="1" applyFont="1" applyBorder="1"/>
    <xf numFmtId="44" fontId="12" fillId="4" borderId="17" xfId="0" applyNumberFormat="1" applyFont="1" applyFill="1" applyBorder="1" applyAlignment="1">
      <alignment horizontal="left"/>
    </xf>
    <xf numFmtId="44" fontId="12" fillId="4" borderId="14" xfId="0" applyNumberFormat="1" applyFont="1" applyFill="1" applyBorder="1" applyAlignment="1">
      <alignment horizontal="left"/>
    </xf>
    <xf numFmtId="44" fontId="12" fillId="0" borderId="14" xfId="0" applyNumberFormat="1" applyFont="1" applyBorder="1" applyAlignment="1">
      <alignment horizontal="left"/>
    </xf>
    <xf numFmtId="44" fontId="13" fillId="3" borderId="14" xfId="0" applyNumberFormat="1" applyFont="1" applyFill="1" applyBorder="1"/>
    <xf numFmtId="44" fontId="13" fillId="7" borderId="14" xfId="0" applyNumberFormat="1" applyFont="1" applyFill="1" applyBorder="1"/>
    <xf numFmtId="44" fontId="13" fillId="3" borderId="16" xfId="0" applyNumberFormat="1" applyFont="1" applyFill="1" applyBorder="1"/>
    <xf numFmtId="44" fontId="15" fillId="3" borderId="14" xfId="0" applyNumberFormat="1" applyFont="1" applyFill="1" applyBorder="1" applyAlignment="1">
      <alignment horizontal="center"/>
    </xf>
    <xf numFmtId="44" fontId="15" fillId="3" borderId="15" xfId="0" applyNumberFormat="1" applyFont="1" applyFill="1" applyBorder="1" applyAlignment="1">
      <alignment horizontal="center"/>
    </xf>
    <xf numFmtId="44" fontId="15" fillId="3" borderId="16" xfId="0" applyNumberFormat="1" applyFont="1" applyFill="1" applyBorder="1" applyAlignment="1">
      <alignment horizontal="center"/>
    </xf>
    <xf numFmtId="44" fontId="15" fillId="3" borderId="17" xfId="0" applyNumberFormat="1" applyFont="1" applyFill="1" applyBorder="1" applyAlignment="1">
      <alignment horizontal="left" indent="3"/>
    </xf>
    <xf numFmtId="44" fontId="12" fillId="3" borderId="14" xfId="0" applyNumberFormat="1" applyFont="1" applyFill="1" applyBorder="1" applyAlignment="1">
      <alignment horizontal="center"/>
    </xf>
    <xf numFmtId="44" fontId="15" fillId="0" borderId="17" xfId="0" applyNumberFormat="1" applyFont="1" applyBorder="1" applyAlignment="1">
      <alignment horizontal="left" indent="3"/>
    </xf>
    <xf numFmtId="44" fontId="7" fillId="0" borderId="14" xfId="0" applyNumberFormat="1" applyFont="1" applyBorder="1" applyAlignment="1">
      <alignment horizontal="left" indent="3"/>
    </xf>
    <xf numFmtId="44" fontId="12" fillId="3" borderId="17" xfId="0" applyNumberFormat="1" applyFont="1" applyFill="1" applyBorder="1" applyAlignment="1">
      <alignment horizontal="left"/>
    </xf>
    <xf numFmtId="44" fontId="12" fillId="3" borderId="14" xfId="0" applyNumberFormat="1" applyFont="1" applyFill="1" applyBorder="1" applyAlignment="1">
      <alignment horizontal="left"/>
    </xf>
    <xf numFmtId="44" fontId="29" fillId="3" borderId="17" xfId="0" applyNumberFormat="1" applyFont="1" applyFill="1" applyBorder="1" applyAlignment="1">
      <alignment horizontal="center"/>
    </xf>
    <xf numFmtId="44" fontId="8" fillId="3" borderId="14" xfId="0" applyNumberFormat="1" applyFont="1" applyFill="1" applyBorder="1"/>
    <xf numFmtId="44" fontId="8" fillId="3" borderId="16" xfId="0" applyNumberFormat="1" applyFont="1" applyFill="1" applyBorder="1"/>
    <xf numFmtId="44" fontId="29" fillId="3" borderId="17" xfId="0" applyNumberFormat="1" applyFont="1" applyFill="1" applyBorder="1" applyAlignment="1">
      <alignment horizontal="center"/>
    </xf>
    <xf numFmtId="44" fontId="13" fillId="3" borderId="14" xfId="0" applyNumberFormat="1" applyFont="1" applyFill="1" applyBorder="1" applyAlignment="1">
      <alignment horizontal="center"/>
    </xf>
    <xf numFmtId="44" fontId="33" fillId="3" borderId="14" xfId="0" applyNumberFormat="1" applyFont="1" applyFill="1" applyBorder="1" applyAlignment="1">
      <alignment horizontal="left"/>
    </xf>
    <xf numFmtId="44" fontId="6" fillId="3" borderId="17" xfId="0" applyNumberFormat="1" applyFont="1" applyFill="1" applyBorder="1"/>
    <xf numFmtId="44" fontId="6" fillId="3" borderId="17" xfId="0" applyNumberFormat="1" applyFont="1" applyFill="1" applyBorder="1"/>
    <xf numFmtId="44" fontId="15" fillId="0" borderId="40" xfId="0" applyNumberFormat="1" applyFont="1" applyBorder="1" applyAlignment="1">
      <alignment horizontal="center"/>
    </xf>
    <xf numFmtId="44" fontId="7" fillId="0" borderId="26" xfId="0" applyNumberFormat="1" applyFont="1" applyBorder="1"/>
    <xf numFmtId="44" fontId="7" fillId="0" borderId="41" xfId="0" applyNumberFormat="1" applyFont="1" applyBorder="1"/>
    <xf numFmtId="44" fontId="34" fillId="2" borderId="42" xfId="0" applyNumberFormat="1" applyFont="1" applyFill="1" applyBorder="1"/>
    <xf numFmtId="44" fontId="7" fillId="0" borderId="43" xfId="0" applyNumberFormat="1" applyFont="1" applyBorder="1"/>
    <xf numFmtId="44" fontId="35" fillId="0" borderId="44" xfId="0" applyNumberFormat="1" applyFont="1" applyBorder="1"/>
    <xf numFmtId="44" fontId="35" fillId="0" borderId="45" xfId="0" applyNumberFormat="1" applyFont="1" applyBorder="1"/>
    <xf numFmtId="44" fontId="34" fillId="2" borderId="42" xfId="0" applyNumberFormat="1" applyFont="1" applyFill="1" applyBorder="1"/>
    <xf numFmtId="44" fontId="36" fillId="9" borderId="23" xfId="0" applyNumberFormat="1" applyFont="1" applyFill="1" applyBorder="1"/>
    <xf numFmtId="44" fontId="37" fillId="9" borderId="20" xfId="0" applyNumberFormat="1" applyFont="1" applyFill="1" applyBorder="1"/>
    <xf numFmtId="1" fontId="15" fillId="0" borderId="0" xfId="0" applyNumberFormat="1" applyFont="1"/>
    <xf numFmtId="3" fontId="13" fillId="0" borderId="0" xfId="0" applyNumberFormat="1" applyFont="1"/>
    <xf numFmtId="0" fontId="7" fillId="0" borderId="0" xfId="0" applyFont="1"/>
    <xf numFmtId="0" fontId="0" fillId="0" borderId="0" xfId="0" applyAlignment="1">
      <alignment horizontal="center"/>
    </xf>
    <xf numFmtId="1" fontId="30" fillId="0" borderId="46" xfId="0" applyNumberFormat="1" applyFont="1" applyBorder="1"/>
    <xf numFmtId="164" fontId="38" fillId="3" borderId="47" xfId="0" applyNumberFormat="1" applyFont="1" applyFill="1" applyBorder="1" applyAlignment="1">
      <alignment horizontal="center" vertical="center"/>
    </xf>
    <xf numFmtId="1" fontId="30" fillId="0" borderId="40" xfId="0" applyNumberFormat="1" applyFont="1" applyBorder="1"/>
    <xf numFmtId="164" fontId="38" fillId="3" borderId="4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Wacima Chabane" id="{B63EE79C-1B5E-4495-AAC3-41E3536954B6}" userId="S::Wacima.Chabane@hogarth.com::fd8b92f2-5839-44da-a10a-5cd6fd658a4a" providerId="AD"/>
  <person displayName="Wacima Chabane" id="{A34B8454-EA96-4C4B-B496-6987CB74BE0D}" userId="S::Wacima.Chabane@hogarthww.com::fd8b92f2-5839-44da-a10a-5cd6fd658a4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L47" dT="2023-06-12T10:28:02.18" personId="{B63EE79C-1B5E-4495-AAC3-41E3536954B6}" id="{99F0530C-DB41-4169-B02C-93408C65F7E8}">
    <text>Prior year</text>
  </threadedComment>
  <threadedComment ref="S48" dT="2022-05-17T03:50:43.44" personId="{A34B8454-EA96-4C4B-B496-6987CB74BE0D}" id="{1DB16980-C0BF-4402-A422-752FC5FB4620}">
    <text>Prior year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B578D-30FF-4160-B709-B6007D05FB17}">
  <dimension ref="A1:T129"/>
  <sheetViews>
    <sheetView tabSelected="1" topLeftCell="A43" zoomScale="89" workbookViewId="0">
      <selection activeCell="H114" sqref="H114:I114"/>
    </sheetView>
  </sheetViews>
  <sheetFormatPr defaultColWidth="31.08203125" defaultRowHeight="14" outlineLevelRow="1" x14ac:dyDescent="0.3"/>
  <cols>
    <col min="1" max="1" width="31.6640625" bestFit="1" customWidth="1"/>
    <col min="2" max="2" width="14.6640625" bestFit="1" customWidth="1"/>
    <col min="3" max="3" width="12.1640625" style="238" bestFit="1" customWidth="1"/>
    <col min="4" max="4" width="6.9140625" style="238" bestFit="1" customWidth="1"/>
    <col min="5" max="5" width="5.9140625" style="238" bestFit="1" customWidth="1"/>
    <col min="6" max="7" width="12.1640625" bestFit="1" customWidth="1"/>
    <col min="8" max="8" width="31.6640625" bestFit="1" customWidth="1"/>
    <col min="9" max="9" width="14.6640625" bestFit="1" customWidth="1"/>
    <col min="10" max="10" width="11.1640625" style="238" bestFit="1" customWidth="1"/>
    <col min="11" max="11" width="11.5" style="238" bestFit="1" customWidth="1"/>
    <col min="12" max="12" width="13.25" style="238" bestFit="1" customWidth="1"/>
    <col min="13" max="13" width="12.1640625" bestFit="1" customWidth="1"/>
    <col min="14" max="14" width="88.08203125" bestFit="1" customWidth="1"/>
    <col min="15" max="15" width="32.4140625" bestFit="1" customWidth="1"/>
    <col min="16" max="16" width="14.6640625" bestFit="1" customWidth="1"/>
    <col min="17" max="18" width="16.5" style="239" bestFit="1" customWidth="1"/>
    <col min="19" max="19" width="17.5" style="239" bestFit="1" customWidth="1"/>
    <col min="20" max="20" width="16.5" style="239" bestFit="1" customWidth="1"/>
  </cols>
  <sheetData>
    <row r="1" spans="1:20" ht="20" x14ac:dyDescent="0.4">
      <c r="A1" s="1" t="s">
        <v>0</v>
      </c>
      <c r="B1" s="1"/>
      <c r="C1" s="1"/>
      <c r="D1" s="1"/>
      <c r="E1" s="1"/>
      <c r="F1" s="1"/>
      <c r="H1" s="1" t="s">
        <v>1</v>
      </c>
      <c r="I1" s="1"/>
      <c r="J1" s="1"/>
      <c r="K1" s="1"/>
      <c r="L1" s="1"/>
      <c r="M1" s="1"/>
      <c r="O1" s="2" t="s">
        <v>2</v>
      </c>
      <c r="P1" s="3"/>
      <c r="Q1" s="3"/>
      <c r="R1" s="3"/>
      <c r="S1" s="3"/>
      <c r="T1" s="3"/>
    </row>
    <row r="2" spans="1:20" ht="15.5" x14ac:dyDescent="0.35">
      <c r="A2" s="4"/>
      <c r="B2" s="4"/>
      <c r="C2" s="5"/>
      <c r="D2" s="5"/>
      <c r="E2" s="5"/>
      <c r="H2" s="4"/>
      <c r="I2" s="4"/>
      <c r="J2" s="5"/>
      <c r="K2" s="5"/>
      <c r="L2" s="5"/>
      <c r="O2" s="4"/>
      <c r="P2" s="4"/>
      <c r="Q2" s="4"/>
      <c r="R2" s="4"/>
      <c r="S2" s="4"/>
      <c r="T2" s="4"/>
    </row>
    <row r="3" spans="1:20" ht="14.5" thickBot="1" x14ac:dyDescent="0.35">
      <c r="A3" s="6" t="s">
        <v>3</v>
      </c>
      <c r="B3" s="7"/>
      <c r="C3" s="8"/>
      <c r="D3" s="9" t="s">
        <v>4</v>
      </c>
      <c r="E3" s="9" t="s">
        <v>5</v>
      </c>
      <c r="F3" t="s">
        <v>6</v>
      </c>
      <c r="H3" s="6" t="s">
        <v>3</v>
      </c>
      <c r="I3" s="7"/>
      <c r="J3" s="8"/>
      <c r="K3" s="9" t="s">
        <v>4</v>
      </c>
      <c r="L3" s="9" t="s">
        <v>5</v>
      </c>
      <c r="M3" t="s">
        <v>6</v>
      </c>
      <c r="O3" s="6" t="s">
        <v>3</v>
      </c>
      <c r="P3" s="7"/>
      <c r="Q3" s="8"/>
      <c r="R3" s="10" t="s">
        <v>4</v>
      </c>
      <c r="S3" s="10" t="s">
        <v>7</v>
      </c>
      <c r="T3" s="10" t="s">
        <v>8</v>
      </c>
    </row>
    <row r="4" spans="1:20" ht="32.5" x14ac:dyDescent="0.65">
      <c r="A4" s="11" t="s">
        <v>9</v>
      </c>
      <c r="B4" s="12"/>
      <c r="C4" s="13"/>
      <c r="D4" s="14"/>
      <c r="E4" s="14"/>
      <c r="F4" s="15"/>
      <c r="G4" t="s">
        <v>6</v>
      </c>
      <c r="H4" s="11" t="s">
        <v>9</v>
      </c>
      <c r="I4" s="12"/>
      <c r="J4" s="13"/>
      <c r="K4" s="14"/>
      <c r="L4" s="14"/>
      <c r="M4" s="15"/>
      <c r="N4" t="s">
        <v>10</v>
      </c>
      <c r="O4" s="16" t="s">
        <v>9</v>
      </c>
      <c r="P4" s="17"/>
      <c r="Q4" s="18"/>
      <c r="R4" s="19"/>
      <c r="S4" s="20"/>
      <c r="T4" s="21"/>
    </row>
    <row r="5" spans="1:20" s="29" customFormat="1" outlineLevel="1" x14ac:dyDescent="0.3">
      <c r="A5" s="22"/>
      <c r="B5" s="23"/>
      <c r="C5" s="24"/>
      <c r="D5" s="25"/>
      <c r="E5" s="26"/>
      <c r="F5" s="27"/>
      <c r="G5" s="28"/>
      <c r="H5" s="22"/>
      <c r="I5" s="23"/>
      <c r="J5" s="24"/>
      <c r="K5" s="25"/>
      <c r="L5" s="26"/>
      <c r="M5" s="27"/>
      <c r="O5" s="22"/>
      <c r="P5" s="23"/>
      <c r="Q5" s="24"/>
      <c r="R5" s="25"/>
      <c r="S5" s="26"/>
      <c r="T5" s="27"/>
    </row>
    <row r="6" spans="1:20" s="29" customFormat="1" outlineLevel="1" x14ac:dyDescent="0.3">
      <c r="A6" s="22" t="s">
        <v>11</v>
      </c>
      <c r="B6" s="23"/>
      <c r="C6" s="24">
        <v>1000</v>
      </c>
      <c r="D6" s="25">
        <v>0</v>
      </c>
      <c r="E6" s="26">
        <v>0</v>
      </c>
      <c r="F6" s="27">
        <f t="shared" ref="F6:F18" si="0">(D6+E6)-C6</f>
        <v>-1000</v>
      </c>
      <c r="G6" s="28">
        <f t="shared" ref="G6:G69" si="1">C6-J6</f>
        <v>-300</v>
      </c>
      <c r="H6" s="22" t="s">
        <v>11</v>
      </c>
      <c r="I6" s="23"/>
      <c r="J6" s="24">
        <v>1300</v>
      </c>
      <c r="K6" s="25">
        <f>311+359+1745+342+249+1653+125+32+446+10+59+68+10+52+20</f>
        <v>5481</v>
      </c>
      <c r="L6" s="26">
        <f>-(62+2878.5+369+1000+26+385)</f>
        <v>-4720.5</v>
      </c>
      <c r="M6" s="27">
        <f t="shared" ref="M6:M18" si="2">(K6+L6)-J6</f>
        <v>-539.5</v>
      </c>
      <c r="O6" s="30" t="s">
        <v>11</v>
      </c>
      <c r="P6" s="31"/>
      <c r="Q6" s="32">
        <v>1500</v>
      </c>
      <c r="R6" s="33">
        <f>6074+79+102+45+10</f>
        <v>6310</v>
      </c>
      <c r="S6" s="34">
        <v>-5375</v>
      </c>
      <c r="T6" s="35">
        <f>(R6+S6)-Q6</f>
        <v>-565</v>
      </c>
    </row>
    <row r="7" spans="1:20" s="29" customFormat="1" outlineLevel="1" x14ac:dyDescent="0.3">
      <c r="A7" s="22" t="s">
        <v>12</v>
      </c>
      <c r="B7" s="23"/>
      <c r="C7" s="36">
        <v>1000</v>
      </c>
      <c r="D7" s="25">
        <v>0</v>
      </c>
      <c r="E7" s="26">
        <v>0</v>
      </c>
      <c r="F7" s="27">
        <f t="shared" si="0"/>
        <v>-1000</v>
      </c>
      <c r="G7" s="28">
        <f t="shared" si="1"/>
        <v>1000</v>
      </c>
      <c r="H7" s="22" t="s">
        <v>12</v>
      </c>
      <c r="I7" s="23"/>
      <c r="J7" s="24">
        <v>0</v>
      </c>
      <c r="K7" s="25">
        <f>312+3634</f>
        <v>3946</v>
      </c>
      <c r="L7" s="26">
        <f>-(2419.81+815.9)</f>
        <v>-3235.71</v>
      </c>
      <c r="M7" s="27">
        <f t="shared" si="2"/>
        <v>710.29</v>
      </c>
      <c r="O7" s="22" t="s">
        <v>12</v>
      </c>
      <c r="P7" s="31"/>
      <c r="Q7" s="32"/>
      <c r="R7" s="33"/>
      <c r="S7" s="34"/>
      <c r="T7" s="35"/>
    </row>
    <row r="8" spans="1:20" s="29" customFormat="1" outlineLevel="1" x14ac:dyDescent="0.3">
      <c r="A8" s="22" t="s">
        <v>13</v>
      </c>
      <c r="B8" s="23"/>
      <c r="C8" s="24">
        <v>2500</v>
      </c>
      <c r="D8" s="25">
        <v>0</v>
      </c>
      <c r="E8" s="26">
        <v>0</v>
      </c>
      <c r="F8" s="27">
        <f t="shared" si="0"/>
        <v>-2500</v>
      </c>
      <c r="G8" s="28">
        <f t="shared" si="1"/>
        <v>500</v>
      </c>
      <c r="H8" s="22" t="s">
        <v>13</v>
      </c>
      <c r="I8" s="23"/>
      <c r="J8" s="24">
        <v>2000</v>
      </c>
      <c r="K8" s="25">
        <f>335.61+2505.33</f>
        <v>2840.94</v>
      </c>
      <c r="L8" s="26">
        <v>-66.2</v>
      </c>
      <c r="M8" s="27">
        <f t="shared" si="2"/>
        <v>774.74000000000024</v>
      </c>
      <c r="O8" s="37" t="s">
        <v>13</v>
      </c>
      <c r="P8" s="31"/>
      <c r="Q8" s="33">
        <v>3500</v>
      </c>
      <c r="R8" s="33">
        <v>2650.98</v>
      </c>
      <c r="S8" s="34">
        <v>0</v>
      </c>
      <c r="T8" s="35">
        <f>(R8+S8)-Q8</f>
        <v>-849.02</v>
      </c>
    </row>
    <row r="9" spans="1:20" s="29" customFormat="1" outlineLevel="1" x14ac:dyDescent="0.3">
      <c r="A9" s="22" t="s">
        <v>14</v>
      </c>
      <c r="B9" s="23"/>
      <c r="C9" s="24">
        <v>800</v>
      </c>
      <c r="D9" s="25">
        <v>0</v>
      </c>
      <c r="E9" s="26">
        <v>0</v>
      </c>
      <c r="F9" s="27">
        <f t="shared" si="0"/>
        <v>-800</v>
      </c>
      <c r="G9" s="28">
        <f t="shared" si="1"/>
        <v>0</v>
      </c>
      <c r="H9" s="22" t="s">
        <v>14</v>
      </c>
      <c r="I9" s="23"/>
      <c r="J9" s="24">
        <v>800</v>
      </c>
      <c r="K9" s="25">
        <f>3160+60</f>
        <v>3220</v>
      </c>
      <c r="L9" s="26">
        <v>-2475</v>
      </c>
      <c r="M9" s="27">
        <f t="shared" si="2"/>
        <v>-55</v>
      </c>
      <c r="O9" s="37" t="s">
        <v>14</v>
      </c>
      <c r="P9" s="38"/>
      <c r="Q9" s="32">
        <v>1000</v>
      </c>
      <c r="R9" s="39">
        <v>2934</v>
      </c>
      <c r="S9" s="40">
        <v>-2106</v>
      </c>
      <c r="T9" s="35">
        <f>(R9+S9)-Q9</f>
        <v>-172</v>
      </c>
    </row>
    <row r="10" spans="1:20" s="29" customFormat="1" outlineLevel="1" x14ac:dyDescent="0.3">
      <c r="A10" s="22" t="s">
        <v>15</v>
      </c>
      <c r="B10" s="23"/>
      <c r="C10" s="24">
        <v>3000</v>
      </c>
      <c r="D10" s="25">
        <v>0</v>
      </c>
      <c r="E10" s="26">
        <v>0</v>
      </c>
      <c r="F10" s="27">
        <f t="shared" si="0"/>
        <v>-3000</v>
      </c>
      <c r="G10" s="28">
        <f t="shared" si="1"/>
        <v>3000</v>
      </c>
      <c r="H10" s="22" t="s">
        <v>15</v>
      </c>
      <c r="I10" s="23"/>
      <c r="J10" s="24">
        <v>0</v>
      </c>
      <c r="K10" s="25">
        <v>7919</v>
      </c>
      <c r="L10" s="26">
        <f>-(327.7+1714.11+173+2471.25)</f>
        <v>-4686.0599999999995</v>
      </c>
      <c r="M10" s="27">
        <f t="shared" si="2"/>
        <v>3232.9400000000005</v>
      </c>
      <c r="O10" s="37" t="s">
        <v>15</v>
      </c>
      <c r="P10" s="38"/>
      <c r="Q10" s="32">
        <v>0</v>
      </c>
      <c r="R10" s="33">
        <v>318.60000000000002</v>
      </c>
      <c r="S10" s="34">
        <v>0</v>
      </c>
      <c r="T10" s="35">
        <f>(R10+S10)-Q10</f>
        <v>318.60000000000002</v>
      </c>
    </row>
    <row r="11" spans="1:20" s="29" customFormat="1" outlineLevel="1" x14ac:dyDescent="0.3">
      <c r="A11" s="22" t="s">
        <v>16</v>
      </c>
      <c r="B11" s="23"/>
      <c r="C11" s="24">
        <v>100</v>
      </c>
      <c r="D11" s="25">
        <v>0</v>
      </c>
      <c r="E11" s="26">
        <v>0</v>
      </c>
      <c r="F11" s="27">
        <f t="shared" si="0"/>
        <v>-100</v>
      </c>
      <c r="G11" s="28">
        <f t="shared" si="1"/>
        <v>0</v>
      </c>
      <c r="H11" s="22" t="s">
        <v>16</v>
      </c>
      <c r="I11" s="23"/>
      <c r="J11" s="24">
        <v>100</v>
      </c>
      <c r="K11" s="25">
        <v>0</v>
      </c>
      <c r="L11" s="26">
        <v>0</v>
      </c>
      <c r="M11" s="27">
        <f t="shared" si="2"/>
        <v>-100</v>
      </c>
      <c r="N11" s="29" t="s">
        <v>17</v>
      </c>
      <c r="O11" s="30" t="s">
        <v>16</v>
      </c>
      <c r="P11" s="31"/>
      <c r="Q11" s="32">
        <v>300</v>
      </c>
      <c r="R11" s="33">
        <v>101.12</v>
      </c>
      <c r="S11" s="34">
        <v>0</v>
      </c>
      <c r="T11" s="35">
        <f>(R11+S11)-Q11</f>
        <v>-198.88</v>
      </c>
    </row>
    <row r="12" spans="1:20" s="29" customFormat="1" outlineLevel="1" x14ac:dyDescent="0.3">
      <c r="A12" s="22" t="s">
        <v>18</v>
      </c>
      <c r="B12" s="23"/>
      <c r="C12" s="36">
        <v>800</v>
      </c>
      <c r="D12" s="25">
        <v>0</v>
      </c>
      <c r="E12" s="26">
        <v>0</v>
      </c>
      <c r="F12" s="27">
        <f t="shared" si="0"/>
        <v>-800</v>
      </c>
      <c r="G12" s="28">
        <f t="shared" si="1"/>
        <v>800</v>
      </c>
      <c r="H12" s="22" t="s">
        <v>18</v>
      </c>
      <c r="I12" s="23"/>
      <c r="J12" s="24">
        <v>0</v>
      </c>
      <c r="K12" s="25">
        <f>74+428+864+238</f>
        <v>1604</v>
      </c>
      <c r="L12" s="26">
        <v>-802</v>
      </c>
      <c r="M12" s="27">
        <f t="shared" si="2"/>
        <v>802</v>
      </c>
      <c r="O12" s="22" t="s">
        <v>18</v>
      </c>
      <c r="Q12" s="32">
        <v>0</v>
      </c>
      <c r="R12" s="33">
        <v>0</v>
      </c>
      <c r="S12" s="34">
        <v>0</v>
      </c>
      <c r="T12" s="35">
        <f t="shared" ref="T12" si="3">(R12+S12)-Q12</f>
        <v>0</v>
      </c>
    </row>
    <row r="13" spans="1:20" s="29" customFormat="1" outlineLevel="1" x14ac:dyDescent="0.3">
      <c r="A13" s="22" t="s">
        <v>19</v>
      </c>
      <c r="B13" s="23"/>
      <c r="C13" s="36">
        <v>2000</v>
      </c>
      <c r="D13" s="25">
        <v>0</v>
      </c>
      <c r="E13" s="26">
        <v>0</v>
      </c>
      <c r="F13" s="27">
        <f t="shared" si="0"/>
        <v>-2000</v>
      </c>
      <c r="G13" s="28">
        <f t="shared" si="1"/>
        <v>800</v>
      </c>
      <c r="H13" s="22" t="s">
        <v>19</v>
      </c>
      <c r="I13" s="23"/>
      <c r="J13" s="24">
        <v>1200</v>
      </c>
      <c r="K13" s="25">
        <v>6971.5</v>
      </c>
      <c r="L13" s="26">
        <v>-4813.47</v>
      </c>
      <c r="M13" s="27">
        <f t="shared" si="2"/>
        <v>958.02999999999975</v>
      </c>
      <c r="N13" s="29" t="s">
        <v>20</v>
      </c>
      <c r="O13" s="37" t="s">
        <v>19</v>
      </c>
      <c r="P13" s="31"/>
      <c r="Q13" s="33">
        <v>1200</v>
      </c>
      <c r="R13" s="33">
        <v>0</v>
      </c>
      <c r="S13" s="34">
        <v>0</v>
      </c>
      <c r="T13" s="35">
        <f>(R13+S13)-Q13</f>
        <v>-1200</v>
      </c>
    </row>
    <row r="14" spans="1:20" s="29" customFormat="1" outlineLevel="1" x14ac:dyDescent="0.3">
      <c r="A14" s="22" t="s">
        <v>21</v>
      </c>
      <c r="B14" s="23"/>
      <c r="C14" s="24">
        <v>3000</v>
      </c>
      <c r="D14" s="25">
        <v>0</v>
      </c>
      <c r="E14" s="26">
        <v>0</v>
      </c>
      <c r="F14" s="27">
        <f t="shared" si="0"/>
        <v>-3000</v>
      </c>
      <c r="G14" s="28">
        <f t="shared" si="1"/>
        <v>2000</v>
      </c>
      <c r="H14" s="22" t="s">
        <v>21</v>
      </c>
      <c r="I14" s="23"/>
      <c r="J14" s="24">
        <v>1000</v>
      </c>
      <c r="K14" s="25">
        <f>5147+37</f>
        <v>5184</v>
      </c>
      <c r="L14" s="26">
        <v>-1531.25</v>
      </c>
      <c r="M14" s="27">
        <f t="shared" si="2"/>
        <v>2652.75</v>
      </c>
      <c r="O14" s="30" t="s">
        <v>21</v>
      </c>
      <c r="P14" s="31"/>
      <c r="Q14" s="32">
        <v>500</v>
      </c>
      <c r="R14" s="33">
        <v>4674</v>
      </c>
      <c r="S14" s="34">
        <v>-2062.75</v>
      </c>
      <c r="T14" s="35">
        <f t="shared" ref="T14" si="4">(R14+S14)-Q14</f>
        <v>2111.25</v>
      </c>
    </row>
    <row r="15" spans="1:20" s="29" customFormat="1" outlineLevel="1" x14ac:dyDescent="0.3">
      <c r="A15" s="22" t="s">
        <v>22</v>
      </c>
      <c r="B15" s="23"/>
      <c r="C15" s="36">
        <v>1200</v>
      </c>
      <c r="D15" s="25">
        <v>0</v>
      </c>
      <c r="E15" s="26">
        <v>0</v>
      </c>
      <c r="F15" s="27">
        <f t="shared" si="0"/>
        <v>-1200</v>
      </c>
      <c r="G15" s="28">
        <f t="shared" si="1"/>
        <v>-200</v>
      </c>
      <c r="H15" s="22" t="s">
        <v>22</v>
      </c>
      <c r="I15" s="23"/>
      <c r="J15" s="24">
        <v>1400</v>
      </c>
      <c r="K15" s="25">
        <v>678.8</v>
      </c>
      <c r="L15" s="26">
        <v>0</v>
      </c>
      <c r="M15" s="27">
        <f t="shared" si="2"/>
        <v>-721.2</v>
      </c>
      <c r="O15" s="37" t="s">
        <v>22</v>
      </c>
      <c r="P15" s="38"/>
      <c r="Q15" s="32">
        <v>0</v>
      </c>
      <c r="R15" s="33">
        <f>710.6+598.6</f>
        <v>1309.2</v>
      </c>
      <c r="S15" s="34">
        <v>-47.2</v>
      </c>
      <c r="T15" s="35">
        <f>(R15+S15)-Q15</f>
        <v>1262</v>
      </c>
    </row>
    <row r="16" spans="1:20" s="29" customFormat="1" outlineLevel="1" x14ac:dyDescent="0.3">
      <c r="A16" s="22" t="s">
        <v>23</v>
      </c>
      <c r="B16" s="23"/>
      <c r="C16" s="36">
        <v>200</v>
      </c>
      <c r="D16" s="25">
        <v>0</v>
      </c>
      <c r="E16" s="26">
        <v>0</v>
      </c>
      <c r="F16" s="27">
        <f t="shared" si="0"/>
        <v>-200</v>
      </c>
      <c r="G16" s="28">
        <f t="shared" si="1"/>
        <v>-300</v>
      </c>
      <c r="H16" s="22" t="s">
        <v>23</v>
      </c>
      <c r="I16" s="23"/>
      <c r="J16" s="24">
        <v>500</v>
      </c>
      <c r="K16" s="25">
        <v>264</v>
      </c>
      <c r="L16" s="26">
        <v>0</v>
      </c>
      <c r="M16" s="27">
        <f t="shared" si="2"/>
        <v>-236</v>
      </c>
      <c r="N16" s="29" t="s">
        <v>24</v>
      </c>
      <c r="O16" s="37" t="s">
        <v>25</v>
      </c>
      <c r="P16" s="38"/>
      <c r="Q16" s="33">
        <v>1000</v>
      </c>
      <c r="R16" s="39">
        <f>134+256.42+250</f>
        <v>640.42000000000007</v>
      </c>
      <c r="S16" s="34">
        <v>0</v>
      </c>
      <c r="T16" s="35">
        <f>(R16+S16)-Q16</f>
        <v>-359.57999999999993</v>
      </c>
    </row>
    <row r="17" spans="1:20" s="29" customFormat="1" outlineLevel="1" x14ac:dyDescent="0.3">
      <c r="A17" s="22" t="s">
        <v>26</v>
      </c>
      <c r="B17" s="23"/>
      <c r="C17" s="24">
        <v>500</v>
      </c>
      <c r="D17" s="25">
        <v>0</v>
      </c>
      <c r="E17" s="26">
        <v>0</v>
      </c>
      <c r="F17" s="27">
        <f t="shared" si="0"/>
        <v>-500</v>
      </c>
      <c r="G17" s="28">
        <f t="shared" si="1"/>
        <v>0</v>
      </c>
      <c r="H17" s="22" t="s">
        <v>26</v>
      </c>
      <c r="I17" s="23"/>
      <c r="J17" s="24">
        <v>500</v>
      </c>
      <c r="K17" s="25">
        <f>1891.64+94.54+548.52</f>
        <v>2534.6999999999998</v>
      </c>
      <c r="L17" s="26">
        <v>0</v>
      </c>
      <c r="M17" s="27">
        <f t="shared" si="2"/>
        <v>2034.6999999999998</v>
      </c>
      <c r="O17" s="37" t="s">
        <v>26</v>
      </c>
      <c r="P17" s="38"/>
      <c r="Q17" s="32">
        <v>500</v>
      </c>
      <c r="R17" s="33">
        <v>0</v>
      </c>
      <c r="S17" s="34">
        <v>0</v>
      </c>
      <c r="T17" s="35">
        <f>(R17+S17)-Q17</f>
        <v>-500</v>
      </c>
    </row>
    <row r="18" spans="1:20" s="29" customFormat="1" outlineLevel="1" x14ac:dyDescent="0.3">
      <c r="A18" s="22" t="s">
        <v>27</v>
      </c>
      <c r="B18" s="23"/>
      <c r="C18" s="36">
        <v>50</v>
      </c>
      <c r="D18" s="25">
        <v>0</v>
      </c>
      <c r="E18" s="26">
        <v>0</v>
      </c>
      <c r="F18" s="27">
        <f t="shared" si="0"/>
        <v>-50</v>
      </c>
      <c r="G18" s="28">
        <f t="shared" si="1"/>
        <v>-50</v>
      </c>
      <c r="H18" s="22" t="s">
        <v>27</v>
      </c>
      <c r="I18" s="23"/>
      <c r="J18" s="24">
        <v>100</v>
      </c>
      <c r="K18" s="25">
        <v>52.28</v>
      </c>
      <c r="L18" s="26">
        <v>0</v>
      </c>
      <c r="M18" s="27">
        <f t="shared" si="2"/>
        <v>-47.72</v>
      </c>
      <c r="O18" s="37" t="s">
        <v>27</v>
      </c>
      <c r="P18" s="31"/>
      <c r="Q18" s="33">
        <v>400</v>
      </c>
      <c r="R18" s="33">
        <v>80.63</v>
      </c>
      <c r="S18" s="34">
        <v>0</v>
      </c>
      <c r="T18" s="35">
        <f>(R18+S18)-Q18</f>
        <v>-319.37</v>
      </c>
    </row>
    <row r="19" spans="1:20" s="29" customFormat="1" outlineLevel="1" x14ac:dyDescent="0.3">
      <c r="A19" s="41" t="s">
        <v>28</v>
      </c>
      <c r="B19" s="42"/>
      <c r="C19" s="36">
        <v>1000</v>
      </c>
      <c r="D19" s="43">
        <v>0</v>
      </c>
      <c r="E19" s="44">
        <v>0</v>
      </c>
      <c r="F19" s="45">
        <f>(D19+E19)-C19</f>
        <v>-1000</v>
      </c>
      <c r="G19" s="28">
        <f>C19-J19</f>
        <v>1000</v>
      </c>
      <c r="H19" s="22" t="s">
        <v>28</v>
      </c>
      <c r="I19" s="23"/>
      <c r="J19" s="24">
        <v>0</v>
      </c>
      <c r="K19" s="25">
        <v>0</v>
      </c>
      <c r="L19" s="26">
        <v>0</v>
      </c>
      <c r="M19" s="27">
        <f>(K19+L19)-J19</f>
        <v>0</v>
      </c>
      <c r="N19" s="29" t="s">
        <v>29</v>
      </c>
      <c r="O19" s="30" t="s">
        <v>28</v>
      </c>
      <c r="P19" s="31"/>
      <c r="Q19" s="32">
        <v>0</v>
      </c>
      <c r="R19" s="33">
        <v>0</v>
      </c>
      <c r="S19" s="34">
        <v>0</v>
      </c>
      <c r="T19" s="35">
        <f t="shared" ref="T19" si="5">(R19+S19)-Q19</f>
        <v>0</v>
      </c>
    </row>
    <row r="20" spans="1:20" s="29" customFormat="1" outlineLevel="1" x14ac:dyDescent="0.3">
      <c r="A20" s="22"/>
      <c r="B20" s="23"/>
      <c r="C20" s="24"/>
      <c r="D20" s="25"/>
      <c r="E20" s="26"/>
      <c r="F20" s="27"/>
      <c r="G20" s="28"/>
      <c r="H20" s="22"/>
      <c r="I20" s="23"/>
      <c r="J20" s="24"/>
      <c r="K20" s="25"/>
      <c r="L20" s="26"/>
      <c r="M20" s="27"/>
      <c r="O20" s="22"/>
      <c r="P20" s="23"/>
      <c r="Q20" s="24"/>
      <c r="R20" s="25"/>
      <c r="S20" s="26"/>
      <c r="T20" s="27"/>
    </row>
    <row r="21" spans="1:20" s="29" customFormat="1" outlineLevel="1" x14ac:dyDescent="0.3">
      <c r="A21" s="22" t="s">
        <v>30</v>
      </c>
      <c r="B21" s="23"/>
      <c r="C21" s="36">
        <v>0</v>
      </c>
      <c r="D21" s="25">
        <v>0</v>
      </c>
      <c r="E21" s="26">
        <v>0</v>
      </c>
      <c r="F21" s="27">
        <f t="shared" ref="F21" si="6">(D21+E21)-C21</f>
        <v>0</v>
      </c>
      <c r="G21" s="28">
        <f t="shared" si="1"/>
        <v>0</v>
      </c>
      <c r="H21" s="22" t="s">
        <v>30</v>
      </c>
      <c r="I21" s="23"/>
      <c r="J21" s="24">
        <v>0</v>
      </c>
      <c r="K21" s="25">
        <f>580+90</f>
        <v>670</v>
      </c>
      <c r="L21" s="26">
        <v>-77</v>
      </c>
      <c r="M21" s="27">
        <f t="shared" ref="M21" si="7">(K21+L21)-J21</f>
        <v>593</v>
      </c>
      <c r="O21" s="22" t="s">
        <v>30</v>
      </c>
      <c r="P21" s="23"/>
      <c r="Q21" s="32">
        <v>0</v>
      </c>
      <c r="R21" s="33">
        <v>0</v>
      </c>
      <c r="S21" s="34">
        <v>0</v>
      </c>
      <c r="T21" s="35">
        <f t="shared" ref="T21" si="8">(R21+S21)-Q21</f>
        <v>0</v>
      </c>
    </row>
    <row r="22" spans="1:20" s="29" customFormat="1" outlineLevel="1" x14ac:dyDescent="0.3">
      <c r="A22" s="22"/>
      <c r="B22" s="23"/>
      <c r="C22" s="24"/>
      <c r="D22" s="25"/>
      <c r="E22" s="26"/>
      <c r="F22" s="27"/>
      <c r="G22" s="28"/>
      <c r="H22" s="22"/>
      <c r="I22" s="23"/>
      <c r="J22" s="24"/>
      <c r="K22" s="25"/>
      <c r="L22" s="26"/>
      <c r="M22" s="27"/>
      <c r="O22" s="22"/>
      <c r="P22" s="23"/>
      <c r="Q22" s="24"/>
      <c r="R22" s="25"/>
      <c r="S22" s="26"/>
      <c r="T22" s="27"/>
    </row>
    <row r="23" spans="1:20" s="29" customFormat="1" outlineLevel="1" x14ac:dyDescent="0.3">
      <c r="A23" s="41" t="s">
        <v>31</v>
      </c>
      <c r="B23" s="42"/>
      <c r="C23" s="36">
        <v>0</v>
      </c>
      <c r="D23" s="43">
        <v>0</v>
      </c>
      <c r="E23" s="44">
        <v>0</v>
      </c>
      <c r="F23" s="45">
        <f t="shared" ref="F23:F28" si="9">(D23+E23)-C23</f>
        <v>0</v>
      </c>
      <c r="G23" s="28">
        <f t="shared" ref="G23:G28" si="10">C23-J23</f>
        <v>-1200</v>
      </c>
      <c r="H23" s="22" t="s">
        <v>31</v>
      </c>
      <c r="I23" s="23"/>
      <c r="J23" s="24">
        <v>1200</v>
      </c>
      <c r="K23" s="25">
        <v>0</v>
      </c>
      <c r="L23" s="26">
        <v>0</v>
      </c>
      <c r="M23" s="27">
        <f t="shared" ref="M23:M28" si="11">(K23+L23)-J23</f>
        <v>-1200</v>
      </c>
      <c r="N23" s="29" t="s">
        <v>32</v>
      </c>
      <c r="O23" s="37" t="s">
        <v>31</v>
      </c>
      <c r="P23" s="38"/>
      <c r="Q23" s="33">
        <v>1200</v>
      </c>
      <c r="R23" s="33">
        <v>0</v>
      </c>
      <c r="S23" s="34">
        <v>0</v>
      </c>
      <c r="T23" s="35">
        <f>(R23+S23)-Q23</f>
        <v>-1200</v>
      </c>
    </row>
    <row r="24" spans="1:20" s="29" customFormat="1" outlineLevel="1" x14ac:dyDescent="0.3">
      <c r="A24" s="41" t="s">
        <v>33</v>
      </c>
      <c r="B24" s="42"/>
      <c r="C24" s="36">
        <v>0</v>
      </c>
      <c r="D24" s="43">
        <v>0</v>
      </c>
      <c r="E24" s="44">
        <v>0</v>
      </c>
      <c r="F24" s="45">
        <f t="shared" si="9"/>
        <v>0</v>
      </c>
      <c r="G24" s="28">
        <f t="shared" si="10"/>
        <v>-100</v>
      </c>
      <c r="H24" s="22" t="s">
        <v>33</v>
      </c>
      <c r="I24" s="23"/>
      <c r="J24" s="24">
        <v>100</v>
      </c>
      <c r="K24" s="25">
        <f>32.8+2.7</f>
        <v>35.5</v>
      </c>
      <c r="L24" s="26">
        <v>0</v>
      </c>
      <c r="M24" s="27">
        <f t="shared" si="11"/>
        <v>-64.5</v>
      </c>
      <c r="N24" s="29" t="s">
        <v>34</v>
      </c>
      <c r="O24" s="37" t="s">
        <v>33</v>
      </c>
      <c r="P24" s="31"/>
      <c r="Q24" s="33">
        <v>300</v>
      </c>
      <c r="R24" s="33">
        <v>34.1</v>
      </c>
      <c r="S24" s="34">
        <v>0</v>
      </c>
      <c r="T24" s="35">
        <f>(R24+S24)-Q24</f>
        <v>-265.89999999999998</v>
      </c>
    </row>
    <row r="25" spans="1:20" s="29" customFormat="1" outlineLevel="1" x14ac:dyDescent="0.3">
      <c r="A25" s="41" t="s">
        <v>35</v>
      </c>
      <c r="B25" s="42"/>
      <c r="C25" s="36">
        <v>0</v>
      </c>
      <c r="D25" s="43">
        <v>0</v>
      </c>
      <c r="E25" s="44">
        <v>0</v>
      </c>
      <c r="F25" s="45">
        <f t="shared" si="9"/>
        <v>0</v>
      </c>
      <c r="G25" s="28">
        <f t="shared" si="10"/>
        <v>-100</v>
      </c>
      <c r="H25" s="22" t="s">
        <v>35</v>
      </c>
      <c r="I25" s="23"/>
      <c r="J25" s="24">
        <v>100</v>
      </c>
      <c r="K25" s="25">
        <v>0</v>
      </c>
      <c r="L25" s="26">
        <v>0</v>
      </c>
      <c r="M25" s="27">
        <f t="shared" si="11"/>
        <v>-100</v>
      </c>
      <c r="N25" s="29" t="s">
        <v>36</v>
      </c>
      <c r="O25" s="37" t="s">
        <v>35</v>
      </c>
      <c r="P25" s="38"/>
      <c r="Q25" s="33">
        <v>100</v>
      </c>
      <c r="R25" s="33">
        <v>0</v>
      </c>
      <c r="S25" s="34">
        <v>0</v>
      </c>
      <c r="T25" s="35">
        <f>(R25+S25)-Q25</f>
        <v>-100</v>
      </c>
    </row>
    <row r="26" spans="1:20" s="29" customFormat="1" outlineLevel="1" x14ac:dyDescent="0.3">
      <c r="A26" s="41" t="s">
        <v>37</v>
      </c>
      <c r="B26" s="42"/>
      <c r="C26" s="36">
        <v>0</v>
      </c>
      <c r="D26" s="43">
        <v>0</v>
      </c>
      <c r="E26" s="44">
        <v>0</v>
      </c>
      <c r="F26" s="45">
        <f t="shared" si="9"/>
        <v>0</v>
      </c>
      <c r="G26" s="28">
        <f t="shared" si="10"/>
        <v>-500</v>
      </c>
      <c r="H26" s="22" t="s">
        <v>37</v>
      </c>
      <c r="I26" s="23"/>
      <c r="J26" s="24">
        <v>500</v>
      </c>
      <c r="K26" s="25">
        <v>0</v>
      </c>
      <c r="L26" s="26">
        <v>0</v>
      </c>
      <c r="M26" s="27">
        <f t="shared" si="11"/>
        <v>-500</v>
      </c>
      <c r="N26" s="29" t="s">
        <v>36</v>
      </c>
      <c r="O26" s="37" t="s">
        <v>37</v>
      </c>
      <c r="P26" s="38"/>
      <c r="Q26" s="33">
        <v>500</v>
      </c>
      <c r="R26" s="33">
        <v>0</v>
      </c>
      <c r="S26" s="34">
        <v>0</v>
      </c>
      <c r="T26" s="35">
        <f>(R26+S26)-Q26</f>
        <v>-500</v>
      </c>
    </row>
    <row r="27" spans="1:20" s="29" customFormat="1" outlineLevel="1" x14ac:dyDescent="0.3">
      <c r="A27" s="41" t="s">
        <v>38</v>
      </c>
      <c r="B27" s="42"/>
      <c r="C27" s="36">
        <v>0</v>
      </c>
      <c r="D27" s="43">
        <v>0</v>
      </c>
      <c r="E27" s="44">
        <v>0</v>
      </c>
      <c r="F27" s="45">
        <f t="shared" si="9"/>
        <v>0</v>
      </c>
      <c r="G27" s="28">
        <f t="shared" si="10"/>
        <v>0</v>
      </c>
      <c r="H27" s="22" t="s">
        <v>38</v>
      </c>
      <c r="I27" s="23"/>
      <c r="J27" s="24">
        <v>0</v>
      </c>
      <c r="K27" s="25">
        <v>0</v>
      </c>
      <c r="L27" s="26">
        <v>0</v>
      </c>
      <c r="M27" s="27">
        <f t="shared" si="11"/>
        <v>0</v>
      </c>
      <c r="N27" s="29" t="s">
        <v>36</v>
      </c>
      <c r="O27" s="37" t="s">
        <v>38</v>
      </c>
      <c r="P27" s="38"/>
      <c r="Q27" s="32">
        <v>0</v>
      </c>
      <c r="R27" s="33">
        <v>2200</v>
      </c>
      <c r="S27" s="34">
        <v>0</v>
      </c>
      <c r="T27" s="35">
        <f>(R27+S27)-Q27</f>
        <v>2200</v>
      </c>
    </row>
    <row r="28" spans="1:20" s="29" customFormat="1" outlineLevel="1" x14ac:dyDescent="0.3">
      <c r="A28" s="41" t="s">
        <v>39</v>
      </c>
      <c r="B28" s="42"/>
      <c r="C28" s="36">
        <v>0</v>
      </c>
      <c r="D28" s="43">
        <v>0</v>
      </c>
      <c r="E28" s="44">
        <v>0</v>
      </c>
      <c r="F28" s="45">
        <f t="shared" si="9"/>
        <v>0</v>
      </c>
      <c r="G28" s="28">
        <f t="shared" si="10"/>
        <v>-100</v>
      </c>
      <c r="H28" s="22" t="s">
        <v>39</v>
      </c>
      <c r="I28" s="23"/>
      <c r="J28" s="24">
        <v>100</v>
      </c>
      <c r="K28" s="25">
        <v>0</v>
      </c>
      <c r="L28" s="26">
        <v>0</v>
      </c>
      <c r="M28" s="27">
        <f t="shared" si="11"/>
        <v>-100</v>
      </c>
      <c r="N28" s="29" t="s">
        <v>36</v>
      </c>
      <c r="O28" s="37" t="s">
        <v>39</v>
      </c>
      <c r="P28" s="38"/>
      <c r="Q28" s="32">
        <v>400</v>
      </c>
      <c r="R28" s="33">
        <v>0</v>
      </c>
      <c r="S28" s="34">
        <v>0</v>
      </c>
      <c r="T28" s="35">
        <f>(R28+S28)-Q28</f>
        <v>-400</v>
      </c>
    </row>
    <row r="29" spans="1:20" s="29" customFormat="1" outlineLevel="1" x14ac:dyDescent="0.3">
      <c r="A29" s="46"/>
      <c r="B29" s="47"/>
      <c r="C29" s="24"/>
      <c r="D29" s="24"/>
      <c r="E29" s="48"/>
      <c r="F29" s="27"/>
      <c r="G29" s="28">
        <f t="shared" si="1"/>
        <v>0</v>
      </c>
      <c r="H29" s="46"/>
      <c r="I29" s="47"/>
      <c r="J29" s="24"/>
      <c r="K29" s="24"/>
      <c r="L29" s="48"/>
      <c r="M29" s="27"/>
      <c r="O29" s="37"/>
      <c r="P29" s="38"/>
      <c r="Q29" s="32"/>
      <c r="R29" s="33"/>
      <c r="S29" s="34"/>
      <c r="T29" s="35"/>
    </row>
    <row r="30" spans="1:20" s="29" customFormat="1" outlineLevel="1" x14ac:dyDescent="0.3">
      <c r="A30" s="49" t="s">
        <v>40</v>
      </c>
      <c r="B30" s="50"/>
      <c r="C30" s="51">
        <f>SUM(C7:C21)</f>
        <v>16150</v>
      </c>
      <c r="D30" s="51">
        <f>SUM(D7:D29)</f>
        <v>0</v>
      </c>
      <c r="E30" s="52">
        <f>SUM(E7:E21)</f>
        <v>0</v>
      </c>
      <c r="F30" s="53">
        <f>SUM(F7:F21)</f>
        <v>-16150</v>
      </c>
      <c r="G30" s="28">
        <f t="shared" si="1"/>
        <v>5250</v>
      </c>
      <c r="H30" s="49" t="s">
        <v>40</v>
      </c>
      <c r="I30" s="50"/>
      <c r="J30" s="51">
        <f>SUM(J6:J28)</f>
        <v>10900</v>
      </c>
      <c r="K30" s="51">
        <f>SUM(K6:K28)</f>
        <v>41401.72</v>
      </c>
      <c r="L30" s="51">
        <f>SUM(L6:L28)</f>
        <v>-22407.19</v>
      </c>
      <c r="M30" s="54">
        <f>SUM(M6:M28)</f>
        <v>8094.5300000000007</v>
      </c>
      <c r="O30" s="55" t="s">
        <v>40</v>
      </c>
      <c r="P30" s="56"/>
      <c r="Q30" s="57">
        <f>SUM(Q6:Q28)</f>
        <v>12400</v>
      </c>
      <c r="R30" s="57">
        <f>SUM(R6:R28)</f>
        <v>21253.05</v>
      </c>
      <c r="S30" s="57">
        <f>SUM(S6:S28)</f>
        <v>-9590.9500000000007</v>
      </c>
      <c r="T30" s="57">
        <f>SUM(T6:T28)</f>
        <v>-737.90000000000009</v>
      </c>
    </row>
    <row r="31" spans="1:20" s="29" customFormat="1" outlineLevel="1" x14ac:dyDescent="0.3">
      <c r="A31" s="58"/>
      <c r="B31" s="59"/>
      <c r="C31" s="24"/>
      <c r="D31" s="24"/>
      <c r="E31" s="48"/>
      <c r="F31" s="27"/>
      <c r="G31" s="28">
        <f t="shared" si="1"/>
        <v>0</v>
      </c>
      <c r="H31" s="58"/>
      <c r="I31" s="59"/>
      <c r="J31" s="24"/>
      <c r="K31" s="24"/>
      <c r="L31" s="48"/>
      <c r="M31" s="27"/>
      <c r="O31" s="60"/>
      <c r="P31" s="56"/>
      <c r="Q31" s="33"/>
      <c r="R31" s="33"/>
      <c r="S31" s="34"/>
      <c r="T31" s="35"/>
    </row>
    <row r="32" spans="1:20" s="29" customFormat="1" ht="14.5" outlineLevel="1" thickBot="1" x14ac:dyDescent="0.35">
      <c r="A32" s="61" t="s">
        <v>41</v>
      </c>
      <c r="B32" s="62"/>
      <c r="C32" s="63">
        <v>12000</v>
      </c>
      <c r="D32" s="64">
        <v>0</v>
      </c>
      <c r="E32" s="65">
        <v>0</v>
      </c>
      <c r="F32" s="66">
        <f>(D32+E32)-C32</f>
        <v>-12000</v>
      </c>
      <c r="G32" s="28">
        <f t="shared" si="1"/>
        <v>2000</v>
      </c>
      <c r="H32" s="61" t="s">
        <v>41</v>
      </c>
      <c r="I32" s="62"/>
      <c r="J32" s="63">
        <v>10000</v>
      </c>
      <c r="K32" s="64">
        <f>4540+1260+985+810+130+100+4047+340+100+40+40</f>
        <v>12392</v>
      </c>
      <c r="L32" s="65">
        <v>-212</v>
      </c>
      <c r="M32" s="66">
        <f>(K32+L32)-J32</f>
        <v>2180</v>
      </c>
      <c r="O32" s="67" t="s">
        <v>41</v>
      </c>
      <c r="P32" s="68"/>
      <c r="Q32" s="69">
        <v>6500</v>
      </c>
      <c r="R32" s="69">
        <v>12642.13</v>
      </c>
      <c r="S32" s="70">
        <f>-(448.83+525+166)</f>
        <v>-1139.83</v>
      </c>
      <c r="T32" s="71">
        <f>(R32+S32)-Q32</f>
        <v>5002.2999999999993</v>
      </c>
    </row>
    <row r="33" spans="1:20" ht="14.5" thickBot="1" x14ac:dyDescent="0.35">
      <c r="A33" s="72"/>
      <c r="B33" s="73"/>
      <c r="C33" s="73"/>
      <c r="D33" s="73"/>
      <c r="E33" s="74"/>
      <c r="G33" s="28">
        <f t="shared" si="1"/>
        <v>0</v>
      </c>
      <c r="H33" s="72"/>
      <c r="I33" s="73"/>
      <c r="J33" s="73"/>
      <c r="K33" s="73"/>
      <c r="L33" s="74"/>
      <c r="O33" s="75"/>
      <c r="P33" s="75"/>
      <c r="Q33" s="75"/>
      <c r="R33" s="75"/>
      <c r="S33" s="75"/>
      <c r="T33" s="75"/>
    </row>
    <row r="34" spans="1:20" x14ac:dyDescent="0.3">
      <c r="A34" s="76" t="s">
        <v>42</v>
      </c>
      <c r="B34" s="77"/>
      <c r="C34" s="78"/>
      <c r="D34" s="77"/>
      <c r="E34" s="79"/>
      <c r="F34" s="80"/>
      <c r="G34" s="28">
        <f t="shared" si="1"/>
        <v>0</v>
      </c>
      <c r="H34" s="76" t="s">
        <v>42</v>
      </c>
      <c r="I34" s="77"/>
      <c r="J34" s="78"/>
      <c r="K34" s="77"/>
      <c r="L34" s="79"/>
      <c r="M34" s="80"/>
      <c r="O34" s="76" t="s">
        <v>42</v>
      </c>
      <c r="P34" s="77"/>
      <c r="Q34" s="18"/>
      <c r="R34" s="19"/>
      <c r="S34" s="20"/>
      <c r="T34" s="21"/>
    </row>
    <row r="35" spans="1:20" outlineLevel="1" x14ac:dyDescent="0.3">
      <c r="A35" s="81" t="s">
        <v>43</v>
      </c>
      <c r="B35" s="82">
        <v>-1100</v>
      </c>
      <c r="C35" s="25">
        <v>0</v>
      </c>
      <c r="D35" s="25">
        <v>0</v>
      </c>
      <c r="E35" s="26">
        <v>0</v>
      </c>
      <c r="F35" s="83">
        <f>(D35+E35)-C35</f>
        <v>0</v>
      </c>
      <c r="G35" s="28">
        <f t="shared" si="1"/>
        <v>0</v>
      </c>
      <c r="H35" s="81" t="s">
        <v>43</v>
      </c>
      <c r="I35" s="82">
        <v>-1100</v>
      </c>
      <c r="J35" s="25">
        <v>0</v>
      </c>
      <c r="K35" s="25">
        <v>0</v>
      </c>
      <c r="L35" s="26">
        <v>0</v>
      </c>
      <c r="M35" s="83">
        <f>(K35+L35)-J35</f>
        <v>0</v>
      </c>
      <c r="O35" s="81" t="s">
        <v>43</v>
      </c>
      <c r="P35" s="84">
        <v>-1100</v>
      </c>
      <c r="Q35" s="33">
        <v>0</v>
      </c>
      <c r="R35" s="33">
        <v>0</v>
      </c>
      <c r="S35" s="33">
        <v>0</v>
      </c>
      <c r="T35" s="35">
        <f>(R35+S35)-Q35</f>
        <v>0</v>
      </c>
    </row>
    <row r="36" spans="1:20" s="86" customFormat="1" ht="14.5" outlineLevel="1" thickBot="1" x14ac:dyDescent="0.35">
      <c r="A36" s="85" t="s">
        <v>44</v>
      </c>
      <c r="B36" s="82">
        <v>1100</v>
      </c>
      <c r="C36" s="25">
        <v>0</v>
      </c>
      <c r="D36" s="25">
        <v>0</v>
      </c>
      <c r="E36" s="26">
        <v>0</v>
      </c>
      <c r="F36" s="82">
        <f>(D36+E36)-C36</f>
        <v>0</v>
      </c>
      <c r="G36" s="28">
        <f t="shared" si="1"/>
        <v>0</v>
      </c>
      <c r="H36" s="85" t="s">
        <v>44</v>
      </c>
      <c r="I36" s="82">
        <v>1100</v>
      </c>
      <c r="J36" s="25">
        <v>0</v>
      </c>
      <c r="K36" s="25">
        <v>66</v>
      </c>
      <c r="L36" s="26">
        <v>0</v>
      </c>
      <c r="M36" s="82">
        <f>(K36+L36)-J36</f>
        <v>66</v>
      </c>
      <c r="O36" s="87" t="s">
        <v>44</v>
      </c>
      <c r="P36" s="88">
        <v>1100</v>
      </c>
      <c r="Q36" s="89">
        <v>0</v>
      </c>
      <c r="R36" s="89">
        <v>0</v>
      </c>
      <c r="S36" s="89">
        <v>0</v>
      </c>
      <c r="T36" s="90">
        <f>(R36+S36)-Q36</f>
        <v>0</v>
      </c>
    </row>
    <row r="37" spans="1:20" ht="14.5" outlineLevel="1" thickBot="1" x14ac:dyDescent="0.35">
      <c r="A37" s="91" t="s">
        <v>45</v>
      </c>
      <c r="B37" s="92"/>
      <c r="C37" s="93">
        <f>SUM(C35:C36)</f>
        <v>0</v>
      </c>
      <c r="D37" s="93">
        <f>SUM(D35:D36)</f>
        <v>0</v>
      </c>
      <c r="E37" s="94">
        <f t="shared" ref="E37:F37" si="12">SUM(E35:E36)</f>
        <v>0</v>
      </c>
      <c r="F37" s="95">
        <f t="shared" si="12"/>
        <v>0</v>
      </c>
      <c r="G37" s="28">
        <f t="shared" si="1"/>
        <v>0</v>
      </c>
      <c r="H37" s="96" t="s">
        <v>45</v>
      </c>
      <c r="I37" s="97"/>
      <c r="J37" s="93">
        <f>SUM(J35:J36)</f>
        <v>0</v>
      </c>
      <c r="K37" s="93">
        <f t="shared" ref="K37:M37" si="13">SUM(K35:K36)</f>
        <v>66</v>
      </c>
      <c r="L37" s="93">
        <f t="shared" si="13"/>
        <v>0</v>
      </c>
      <c r="M37" s="93">
        <f t="shared" si="13"/>
        <v>66</v>
      </c>
      <c r="O37" s="98" t="s">
        <v>45</v>
      </c>
      <c r="P37" s="99"/>
      <c r="Q37" s="100">
        <f>SUM(Q35:Q36)</f>
        <v>0</v>
      </c>
      <c r="R37" s="100">
        <f t="shared" ref="R37:T37" si="14">SUM(R35:R36)</f>
        <v>0</v>
      </c>
      <c r="S37" s="101">
        <f t="shared" si="14"/>
        <v>0</v>
      </c>
      <c r="T37" s="102">
        <f t="shared" si="14"/>
        <v>0</v>
      </c>
    </row>
    <row r="38" spans="1:20" outlineLevel="1" x14ac:dyDescent="0.3">
      <c r="A38" s="103" t="s">
        <v>46</v>
      </c>
      <c r="B38" s="104">
        <v>0</v>
      </c>
      <c r="C38" s="43">
        <v>0</v>
      </c>
      <c r="D38" s="43">
        <v>0</v>
      </c>
      <c r="E38" s="44">
        <v>0</v>
      </c>
      <c r="F38" s="105">
        <f t="shared" ref="F38:F39" si="15">(D38+E38)-C38</f>
        <v>0</v>
      </c>
      <c r="G38" s="28">
        <f t="shared" si="1"/>
        <v>0</v>
      </c>
      <c r="H38" s="81" t="s">
        <v>46</v>
      </c>
      <c r="I38" s="82" t="s">
        <v>47</v>
      </c>
      <c r="J38" s="25">
        <v>0</v>
      </c>
      <c r="K38" s="25">
        <v>0</v>
      </c>
      <c r="L38" s="26">
        <v>0</v>
      </c>
      <c r="M38" s="83">
        <f t="shared" ref="M38:M39" si="16">(K38+L38)-J38</f>
        <v>0</v>
      </c>
      <c r="N38" t="s">
        <v>48</v>
      </c>
      <c r="O38" s="106" t="s">
        <v>46</v>
      </c>
      <c r="P38" s="107" t="s">
        <v>47</v>
      </c>
      <c r="Q38" s="108">
        <v>0</v>
      </c>
      <c r="R38" s="108">
        <v>0</v>
      </c>
      <c r="S38" s="109">
        <v>0</v>
      </c>
      <c r="T38" s="110">
        <f t="shared" ref="T38:T39" si="17">(R38+S38)-Q38</f>
        <v>0</v>
      </c>
    </row>
    <row r="39" spans="1:20" s="86" customFormat="1" ht="14.5" outlineLevel="1" thickBot="1" x14ac:dyDescent="0.35">
      <c r="A39" s="103" t="s">
        <v>49</v>
      </c>
      <c r="B39" s="104">
        <v>0</v>
      </c>
      <c r="C39" s="43">
        <v>0</v>
      </c>
      <c r="D39" s="43">
        <v>0</v>
      </c>
      <c r="E39" s="44">
        <v>0</v>
      </c>
      <c r="F39" s="105">
        <f t="shared" si="15"/>
        <v>0</v>
      </c>
      <c r="G39" s="28">
        <f t="shared" si="1"/>
        <v>0</v>
      </c>
      <c r="H39" s="81" t="s">
        <v>49</v>
      </c>
      <c r="I39" s="82" t="s">
        <v>50</v>
      </c>
      <c r="J39" s="25">
        <v>0</v>
      </c>
      <c r="K39" s="25">
        <v>0</v>
      </c>
      <c r="L39" s="26">
        <v>0</v>
      </c>
      <c r="M39" s="83">
        <f t="shared" si="16"/>
        <v>0</v>
      </c>
      <c r="O39" s="111" t="s">
        <v>49</v>
      </c>
      <c r="P39" s="88" t="s">
        <v>50</v>
      </c>
      <c r="Q39" s="89">
        <v>0</v>
      </c>
      <c r="R39" s="89">
        <v>0</v>
      </c>
      <c r="S39" s="112">
        <v>0</v>
      </c>
      <c r="T39" s="90">
        <f t="shared" si="17"/>
        <v>0</v>
      </c>
    </row>
    <row r="40" spans="1:20" ht="14.5" outlineLevel="1" thickBot="1" x14ac:dyDescent="0.35">
      <c r="A40" s="113" t="s">
        <v>51</v>
      </c>
      <c r="B40" s="114"/>
      <c r="C40" s="115">
        <f t="shared" ref="C40:F40" si="18">SUM(C38:C39)</f>
        <v>0</v>
      </c>
      <c r="D40" s="115">
        <f t="shared" si="18"/>
        <v>0</v>
      </c>
      <c r="E40" s="116">
        <f t="shared" si="18"/>
        <v>0</v>
      </c>
      <c r="F40" s="117">
        <f t="shared" si="18"/>
        <v>0</v>
      </c>
      <c r="G40" s="28">
        <f t="shared" si="1"/>
        <v>0</v>
      </c>
      <c r="H40" s="96" t="s">
        <v>51</v>
      </c>
      <c r="I40" s="97"/>
      <c r="J40" s="93">
        <f>SUM(J38:J39)</f>
        <v>0</v>
      </c>
      <c r="K40" s="93">
        <f t="shared" ref="K40:M40" si="19">SUM(K38:K39)</f>
        <v>0</v>
      </c>
      <c r="L40" s="93">
        <f t="shared" si="19"/>
        <v>0</v>
      </c>
      <c r="M40" s="93">
        <f t="shared" si="19"/>
        <v>0</v>
      </c>
      <c r="O40" s="98" t="s">
        <v>51</v>
      </c>
      <c r="P40" s="99"/>
      <c r="Q40" s="100">
        <f t="shared" ref="Q40:T40" si="20">SUM(Q38:Q39)</f>
        <v>0</v>
      </c>
      <c r="R40" s="100">
        <f t="shared" si="20"/>
        <v>0</v>
      </c>
      <c r="S40" s="101">
        <f t="shared" si="20"/>
        <v>0</v>
      </c>
      <c r="T40" s="102">
        <f t="shared" si="20"/>
        <v>0</v>
      </c>
    </row>
    <row r="41" spans="1:20" outlineLevel="1" x14ac:dyDescent="0.3">
      <c r="A41" s="103" t="s">
        <v>52</v>
      </c>
      <c r="B41" s="104">
        <v>0</v>
      </c>
      <c r="C41" s="43">
        <v>0</v>
      </c>
      <c r="D41" s="43">
        <v>0</v>
      </c>
      <c r="E41" s="44">
        <v>0</v>
      </c>
      <c r="F41" s="105">
        <f t="shared" ref="F41:F42" si="21">(D41+E41)-C41</f>
        <v>0</v>
      </c>
      <c r="G41" s="28">
        <f t="shared" si="1"/>
        <v>0</v>
      </c>
      <c r="H41" s="81" t="s">
        <v>52</v>
      </c>
      <c r="I41" s="82" t="s">
        <v>47</v>
      </c>
      <c r="J41" s="25">
        <v>0</v>
      </c>
      <c r="K41" s="25">
        <v>0</v>
      </c>
      <c r="L41" s="26">
        <v>0</v>
      </c>
      <c r="M41" s="83">
        <f t="shared" ref="M41:M42" si="22">(K41+L41)-J41</f>
        <v>0</v>
      </c>
      <c r="N41" t="s">
        <v>48</v>
      </c>
      <c r="O41" s="106" t="s">
        <v>52</v>
      </c>
      <c r="P41" s="107" t="s">
        <v>47</v>
      </c>
      <c r="Q41" s="108">
        <v>0</v>
      </c>
      <c r="R41" s="108">
        <v>0</v>
      </c>
      <c r="S41" s="109">
        <v>0</v>
      </c>
      <c r="T41" s="110">
        <f t="shared" ref="T41:T42" si="23">(R41+S41)-Q41</f>
        <v>0</v>
      </c>
    </row>
    <row r="42" spans="1:20" s="86" customFormat="1" ht="14.5" outlineLevel="1" thickBot="1" x14ac:dyDescent="0.35">
      <c r="A42" s="103" t="s">
        <v>53</v>
      </c>
      <c r="B42" s="104">
        <v>0</v>
      </c>
      <c r="C42" s="43">
        <v>0</v>
      </c>
      <c r="D42" s="43">
        <v>0</v>
      </c>
      <c r="E42" s="44">
        <v>0</v>
      </c>
      <c r="F42" s="105">
        <f t="shared" si="21"/>
        <v>0</v>
      </c>
      <c r="G42" s="28">
        <f t="shared" si="1"/>
        <v>0</v>
      </c>
      <c r="H42" s="81" t="s">
        <v>53</v>
      </c>
      <c r="I42" s="82" t="s">
        <v>50</v>
      </c>
      <c r="J42" s="25">
        <v>0</v>
      </c>
      <c r="K42" s="25">
        <v>0</v>
      </c>
      <c r="L42" s="26">
        <v>0</v>
      </c>
      <c r="M42" s="83">
        <f t="shared" si="22"/>
        <v>0</v>
      </c>
      <c r="O42" s="111" t="s">
        <v>53</v>
      </c>
      <c r="P42" s="88" t="s">
        <v>50</v>
      </c>
      <c r="Q42" s="89">
        <v>0</v>
      </c>
      <c r="R42" s="89">
        <v>0</v>
      </c>
      <c r="S42" s="112">
        <v>0</v>
      </c>
      <c r="T42" s="90">
        <f t="shared" si="23"/>
        <v>0</v>
      </c>
    </row>
    <row r="43" spans="1:20" ht="14.5" outlineLevel="1" thickBot="1" x14ac:dyDescent="0.35">
      <c r="A43" s="113" t="s">
        <v>54</v>
      </c>
      <c r="B43" s="114"/>
      <c r="C43" s="115">
        <f t="shared" ref="C43:F43" si="24">SUM(C41:C42)</f>
        <v>0</v>
      </c>
      <c r="D43" s="115">
        <f t="shared" si="24"/>
        <v>0</v>
      </c>
      <c r="E43" s="116">
        <f t="shared" si="24"/>
        <v>0</v>
      </c>
      <c r="F43" s="117">
        <f t="shared" si="24"/>
        <v>0</v>
      </c>
      <c r="G43" s="28">
        <f t="shared" si="1"/>
        <v>0</v>
      </c>
      <c r="H43" s="96" t="s">
        <v>54</v>
      </c>
      <c r="I43" s="97"/>
      <c r="J43" s="93">
        <f>SUM(J41:J42)</f>
        <v>0</v>
      </c>
      <c r="K43" s="93">
        <f t="shared" ref="K43:M43" si="25">SUM(K41:K42)</f>
        <v>0</v>
      </c>
      <c r="L43" s="93">
        <f t="shared" si="25"/>
        <v>0</v>
      </c>
      <c r="M43" s="93">
        <f t="shared" si="25"/>
        <v>0</v>
      </c>
      <c r="O43" s="98" t="s">
        <v>54</v>
      </c>
      <c r="P43" s="99"/>
      <c r="Q43" s="100">
        <f t="shared" ref="Q43:T43" si="26">SUM(Q41:Q42)</f>
        <v>0</v>
      </c>
      <c r="R43" s="100">
        <f t="shared" si="26"/>
        <v>0</v>
      </c>
      <c r="S43" s="101">
        <f t="shared" si="26"/>
        <v>0</v>
      </c>
      <c r="T43" s="102">
        <f t="shared" si="26"/>
        <v>0</v>
      </c>
    </row>
    <row r="44" spans="1:20" outlineLevel="1" x14ac:dyDescent="0.3">
      <c r="A44" s="81" t="s">
        <v>55</v>
      </c>
      <c r="B44" s="104">
        <v>-3000</v>
      </c>
      <c r="C44" s="25">
        <v>0</v>
      </c>
      <c r="D44" s="25">
        <v>0</v>
      </c>
      <c r="E44" s="26">
        <v>0</v>
      </c>
      <c r="F44" s="83">
        <f>(D44+E44)+C44</f>
        <v>0</v>
      </c>
      <c r="G44" s="28">
        <f t="shared" si="1"/>
        <v>0</v>
      </c>
      <c r="H44" s="81" t="s">
        <v>55</v>
      </c>
      <c r="I44" s="82">
        <v>-1080</v>
      </c>
      <c r="J44" s="25">
        <v>0</v>
      </c>
      <c r="K44" s="25">
        <f>170+350+40+140+2193+20</f>
        <v>2913</v>
      </c>
      <c r="L44" s="26">
        <f>-(233.69+1242.06+1487.03+20.63)</f>
        <v>-2983.41</v>
      </c>
      <c r="M44" s="83">
        <f>(K44+L44)+J44</f>
        <v>-70.409999999999854</v>
      </c>
      <c r="O44" s="106" t="s">
        <v>55</v>
      </c>
      <c r="P44" s="107">
        <v>-1080</v>
      </c>
      <c r="Q44" s="108"/>
      <c r="R44" s="108">
        <v>0</v>
      </c>
      <c r="S44" s="109">
        <f>-(1080+13.5+953.9)</f>
        <v>-2047.4</v>
      </c>
      <c r="T44" s="110">
        <f>(R44+S44)+Q44</f>
        <v>-2047.4</v>
      </c>
    </row>
    <row r="45" spans="1:20" s="86" customFormat="1" ht="14.5" outlineLevel="1" thickBot="1" x14ac:dyDescent="0.35">
      <c r="A45" s="81" t="s">
        <v>56</v>
      </c>
      <c r="B45" s="104">
        <v>3000</v>
      </c>
      <c r="C45" s="25">
        <v>0</v>
      </c>
      <c r="D45" s="25">
        <v>0</v>
      </c>
      <c r="E45" s="26">
        <v>0</v>
      </c>
      <c r="F45" s="83">
        <f>(C45+E45)+D45</f>
        <v>0</v>
      </c>
      <c r="G45" s="28">
        <f t="shared" si="1"/>
        <v>0</v>
      </c>
      <c r="H45" s="81" t="s">
        <v>56</v>
      </c>
      <c r="I45" s="82">
        <v>1080</v>
      </c>
      <c r="J45" s="25">
        <v>0</v>
      </c>
      <c r="K45" s="25">
        <v>0</v>
      </c>
      <c r="L45" s="26">
        <v>0</v>
      </c>
      <c r="M45" s="83">
        <f>(J45+L45)+K45</f>
        <v>0</v>
      </c>
      <c r="O45" s="111" t="s">
        <v>56</v>
      </c>
      <c r="P45" s="88">
        <f>225+60+1339</f>
        <v>1624</v>
      </c>
      <c r="Q45" s="86">
        <v>0</v>
      </c>
      <c r="R45" s="112">
        <f>1764+15+1781</f>
        <v>3560</v>
      </c>
      <c r="S45" s="112">
        <v>0</v>
      </c>
      <c r="T45" s="90">
        <f>(Q45+S45)+R45</f>
        <v>3560</v>
      </c>
    </row>
    <row r="46" spans="1:20" ht="14.5" outlineLevel="1" thickBot="1" x14ac:dyDescent="0.35">
      <c r="A46" s="96" t="s">
        <v>57</v>
      </c>
      <c r="B46" s="97"/>
      <c r="C46" s="93">
        <f>SUM(C44:C45)</f>
        <v>0</v>
      </c>
      <c r="D46" s="93">
        <f>SUM(D44:D45)</f>
        <v>0</v>
      </c>
      <c r="E46" s="94">
        <f t="shared" ref="E46:F46" si="27">SUM(E44:E45)</f>
        <v>0</v>
      </c>
      <c r="F46" s="95">
        <f t="shared" si="27"/>
        <v>0</v>
      </c>
      <c r="G46" s="28">
        <f t="shared" si="1"/>
        <v>0</v>
      </c>
      <c r="H46" s="96" t="s">
        <v>57</v>
      </c>
      <c r="I46" s="97"/>
      <c r="J46" s="93">
        <f>SUM(J44:J45)</f>
        <v>0</v>
      </c>
      <c r="K46" s="93">
        <f t="shared" ref="K46:M46" si="28">SUM(K44:K45)</f>
        <v>2913</v>
      </c>
      <c r="L46" s="93">
        <f t="shared" si="28"/>
        <v>-2983.41</v>
      </c>
      <c r="M46" s="93">
        <f t="shared" si="28"/>
        <v>-70.409999999999854</v>
      </c>
      <c r="O46" s="98" t="s">
        <v>57</v>
      </c>
      <c r="P46" s="99"/>
      <c r="Q46" s="100">
        <f>SUM(Q44:Q45)</f>
        <v>0</v>
      </c>
      <c r="R46" s="100">
        <f>SUM(R44:R45)</f>
        <v>3560</v>
      </c>
      <c r="S46" s="118">
        <f t="shared" ref="S46:T46" si="29">SUM(S44:S45)</f>
        <v>-2047.4</v>
      </c>
      <c r="T46" s="102">
        <f t="shared" si="29"/>
        <v>1512.6</v>
      </c>
    </row>
    <row r="47" spans="1:20" outlineLevel="1" x14ac:dyDescent="0.3">
      <c r="A47" s="119" t="s">
        <v>58</v>
      </c>
      <c r="B47" s="104">
        <f>SUM(B48:B54)</f>
        <v>-20000</v>
      </c>
      <c r="C47" s="43">
        <f>SUM(C48:C54)</f>
        <v>0</v>
      </c>
      <c r="D47" s="43">
        <f t="shared" ref="D47:E47" si="30">SUM(D48:D54)</f>
        <v>0</v>
      </c>
      <c r="E47" s="43">
        <f t="shared" si="30"/>
        <v>0</v>
      </c>
      <c r="F47" s="43">
        <f>SUM(F48:F54)</f>
        <v>0</v>
      </c>
      <c r="G47" s="28">
        <f t="shared" si="1"/>
        <v>0</v>
      </c>
      <c r="H47" s="120" t="s">
        <v>58</v>
      </c>
      <c r="I47" s="82">
        <v>-8000</v>
      </c>
      <c r="J47" s="25">
        <v>0</v>
      </c>
      <c r="K47" s="25">
        <v>0</v>
      </c>
      <c r="L47" s="26">
        <f>-(49+391+320+217.75+243.13+18)</f>
        <v>-1238.8800000000001</v>
      </c>
      <c r="M47" s="121">
        <f t="shared" ref="M47:M64" si="31">(K47+L47)-J47</f>
        <v>-1238.8800000000001</v>
      </c>
      <c r="N47" s="122" t="s">
        <v>59</v>
      </c>
      <c r="O47" s="123" t="s">
        <v>58</v>
      </c>
      <c r="P47" s="107">
        <v>-8000</v>
      </c>
      <c r="Q47" s="108">
        <v>0</v>
      </c>
      <c r="R47" s="124">
        <f>141+47+188</f>
        <v>376</v>
      </c>
      <c r="S47" s="124">
        <f>-(500+1000+560.79+2200+90.14)</f>
        <v>-4350.93</v>
      </c>
      <c r="T47" s="110">
        <f t="shared" ref="T47" si="32">(R47+S47)-Q47</f>
        <v>-3974.9300000000003</v>
      </c>
    </row>
    <row r="48" spans="1:20" outlineLevel="1" x14ac:dyDescent="0.3">
      <c r="A48" s="125" t="s">
        <v>60</v>
      </c>
      <c r="B48" s="104">
        <v>-5000</v>
      </c>
      <c r="C48" s="43">
        <v>0</v>
      </c>
      <c r="D48" s="43">
        <v>0</v>
      </c>
      <c r="E48" s="44">
        <v>0</v>
      </c>
      <c r="F48" s="119">
        <f t="shared" ref="F48:F50" si="33">(D48+E48)+C48</f>
        <v>0</v>
      </c>
      <c r="G48" s="28">
        <f t="shared" si="1"/>
        <v>0</v>
      </c>
      <c r="H48" s="120"/>
      <c r="I48" s="25">
        <v>0</v>
      </c>
      <c r="J48" s="25">
        <v>0</v>
      </c>
      <c r="K48" s="25">
        <v>0</v>
      </c>
      <c r="L48" s="26">
        <v>0</v>
      </c>
      <c r="M48" s="83">
        <f t="shared" si="31"/>
        <v>0</v>
      </c>
      <c r="N48" s="122"/>
      <c r="O48" s="126" t="s">
        <v>60</v>
      </c>
      <c r="P48" s="82">
        <v>-5000</v>
      </c>
      <c r="Q48" s="25">
        <v>0</v>
      </c>
      <c r="R48" s="25">
        <v>0</v>
      </c>
      <c r="S48" s="112">
        <f>-(339.32+339.91)</f>
        <v>-679.23</v>
      </c>
      <c r="T48" s="81">
        <f t="shared" ref="T48:T50" si="34">(R48+S48)+Q48</f>
        <v>-679.23</v>
      </c>
    </row>
    <row r="49" spans="1:20" outlineLevel="1" x14ac:dyDescent="0.3">
      <c r="A49" s="125" t="s">
        <v>61</v>
      </c>
      <c r="B49" s="104">
        <v>-10000</v>
      </c>
      <c r="C49" s="43">
        <v>0</v>
      </c>
      <c r="D49" s="43">
        <v>0</v>
      </c>
      <c r="E49" s="44">
        <v>0</v>
      </c>
      <c r="F49" s="119">
        <f t="shared" si="33"/>
        <v>0</v>
      </c>
      <c r="G49" s="28">
        <f t="shared" si="1"/>
        <v>0</v>
      </c>
      <c r="H49" s="120"/>
      <c r="I49" s="25">
        <v>0</v>
      </c>
      <c r="J49" s="25">
        <v>0</v>
      </c>
      <c r="K49" s="25">
        <v>0</v>
      </c>
      <c r="L49" s="26">
        <v>0</v>
      </c>
      <c r="M49" s="83">
        <f t="shared" si="31"/>
        <v>0</v>
      </c>
      <c r="N49" s="122"/>
      <c r="O49" s="126" t="s">
        <v>61</v>
      </c>
      <c r="P49" s="82">
        <v>-10000</v>
      </c>
      <c r="Q49" s="25">
        <v>0</v>
      </c>
      <c r="R49" s="25">
        <v>0</v>
      </c>
      <c r="S49" s="26">
        <v>0</v>
      </c>
      <c r="T49" s="81">
        <f t="shared" si="34"/>
        <v>0</v>
      </c>
    </row>
    <row r="50" spans="1:20" outlineLevel="1" x14ac:dyDescent="0.3">
      <c r="A50" s="125" t="s">
        <v>62</v>
      </c>
      <c r="B50" s="104">
        <v>-1000</v>
      </c>
      <c r="C50" s="43">
        <v>0</v>
      </c>
      <c r="D50" s="43">
        <v>0</v>
      </c>
      <c r="E50" s="44">
        <v>0</v>
      </c>
      <c r="F50" s="119">
        <f t="shared" si="33"/>
        <v>0</v>
      </c>
      <c r="G50" s="28">
        <f t="shared" si="1"/>
        <v>0</v>
      </c>
      <c r="H50" s="120"/>
      <c r="I50" s="25">
        <v>0</v>
      </c>
      <c r="J50" s="25">
        <v>0</v>
      </c>
      <c r="K50" s="25">
        <v>0</v>
      </c>
      <c r="L50" s="26">
        <v>0</v>
      </c>
      <c r="M50" s="83">
        <f t="shared" si="31"/>
        <v>0</v>
      </c>
      <c r="N50" s="122"/>
      <c r="O50" s="126" t="s">
        <v>62</v>
      </c>
      <c r="P50" s="82">
        <v>-1000</v>
      </c>
      <c r="Q50" s="25">
        <v>0</v>
      </c>
      <c r="R50" s="25">
        <v>0</v>
      </c>
      <c r="S50" s="26">
        <v>0</v>
      </c>
      <c r="T50" s="81">
        <f t="shared" si="34"/>
        <v>0</v>
      </c>
    </row>
    <row r="51" spans="1:20" outlineLevel="1" x14ac:dyDescent="0.3">
      <c r="A51" s="125" t="s">
        <v>63</v>
      </c>
      <c r="B51" s="127">
        <v>-1200</v>
      </c>
      <c r="C51" s="43">
        <v>0</v>
      </c>
      <c r="D51" s="43">
        <v>0</v>
      </c>
      <c r="E51" s="44">
        <v>0</v>
      </c>
      <c r="F51" s="119">
        <f>(D51+E51)+C51</f>
        <v>0</v>
      </c>
      <c r="G51" s="28">
        <f t="shared" si="1"/>
        <v>0</v>
      </c>
      <c r="H51" s="120"/>
      <c r="I51" s="25">
        <v>0</v>
      </c>
      <c r="J51" s="25">
        <v>0</v>
      </c>
      <c r="K51" s="25">
        <v>0</v>
      </c>
      <c r="L51" s="26">
        <v>0</v>
      </c>
      <c r="M51" s="83">
        <f t="shared" si="31"/>
        <v>0</v>
      </c>
      <c r="N51" s="122"/>
      <c r="O51" s="126" t="s">
        <v>63</v>
      </c>
      <c r="P51" s="83">
        <v>-1200</v>
      </c>
      <c r="Q51" s="25">
        <v>0</v>
      </c>
      <c r="R51" s="25">
        <v>0</v>
      </c>
      <c r="S51" s="26">
        <v>0</v>
      </c>
      <c r="T51" s="81">
        <f>(R51+S51)+Q51</f>
        <v>0</v>
      </c>
    </row>
    <row r="52" spans="1:20" outlineLevel="1" x14ac:dyDescent="0.3">
      <c r="A52" s="125" t="s">
        <v>64</v>
      </c>
      <c r="B52" s="104">
        <v>-1000</v>
      </c>
      <c r="C52" s="43">
        <v>0</v>
      </c>
      <c r="D52" s="43">
        <v>0</v>
      </c>
      <c r="E52" s="44">
        <v>0</v>
      </c>
      <c r="F52" s="119">
        <f t="shared" ref="F52:F54" si="35">(D52+E52)+C52</f>
        <v>0</v>
      </c>
      <c r="G52" s="28">
        <f t="shared" si="1"/>
        <v>0</v>
      </c>
      <c r="H52" s="120"/>
      <c r="I52" s="25">
        <v>0</v>
      </c>
      <c r="J52" s="25">
        <v>0</v>
      </c>
      <c r="K52" s="25">
        <v>0</v>
      </c>
      <c r="L52" s="26">
        <v>0</v>
      </c>
      <c r="M52" s="83">
        <f t="shared" si="31"/>
        <v>0</v>
      </c>
      <c r="N52" s="122"/>
      <c r="O52" s="126" t="s">
        <v>64</v>
      </c>
      <c r="P52" s="82">
        <v>-1000</v>
      </c>
      <c r="Q52" s="25">
        <v>0</v>
      </c>
      <c r="R52" s="25">
        <v>0</v>
      </c>
      <c r="S52" s="26">
        <v>0</v>
      </c>
      <c r="T52" s="81">
        <f t="shared" ref="T52:T54" si="36">(R52+S52)+Q52</f>
        <v>0</v>
      </c>
    </row>
    <row r="53" spans="1:20" outlineLevel="1" x14ac:dyDescent="0.3">
      <c r="A53" s="125" t="s">
        <v>65</v>
      </c>
      <c r="B53" s="104">
        <v>-1000</v>
      </c>
      <c r="C53" s="43">
        <v>0</v>
      </c>
      <c r="D53" s="43">
        <v>0</v>
      </c>
      <c r="E53" s="44">
        <v>0</v>
      </c>
      <c r="F53" s="119">
        <f t="shared" si="35"/>
        <v>0</v>
      </c>
      <c r="G53" s="28">
        <f t="shared" si="1"/>
        <v>0</v>
      </c>
      <c r="H53" s="120"/>
      <c r="I53" s="25">
        <v>0</v>
      </c>
      <c r="J53" s="25">
        <v>0</v>
      </c>
      <c r="K53" s="25">
        <v>0</v>
      </c>
      <c r="L53" s="26">
        <v>0</v>
      </c>
      <c r="M53" s="83">
        <f t="shared" si="31"/>
        <v>0</v>
      </c>
      <c r="N53" s="122"/>
      <c r="O53" s="126" t="s">
        <v>65</v>
      </c>
      <c r="P53" s="82">
        <v>-1000</v>
      </c>
      <c r="Q53" s="25">
        <v>0</v>
      </c>
      <c r="R53" s="25">
        <v>0</v>
      </c>
      <c r="S53" s="26">
        <v>0</v>
      </c>
      <c r="T53" s="81">
        <f t="shared" si="36"/>
        <v>0</v>
      </c>
    </row>
    <row r="54" spans="1:20" outlineLevel="1" x14ac:dyDescent="0.3">
      <c r="A54" s="125" t="s">
        <v>66</v>
      </c>
      <c r="B54" s="104">
        <v>-800</v>
      </c>
      <c r="C54" s="43">
        <v>0</v>
      </c>
      <c r="D54" s="43">
        <v>0</v>
      </c>
      <c r="E54" s="44">
        <v>0</v>
      </c>
      <c r="F54" s="119">
        <f t="shared" si="35"/>
        <v>0</v>
      </c>
      <c r="G54" s="28">
        <f t="shared" si="1"/>
        <v>0</v>
      </c>
      <c r="H54" s="120"/>
      <c r="I54" s="25">
        <v>0</v>
      </c>
      <c r="J54" s="25">
        <v>0</v>
      </c>
      <c r="K54" s="25">
        <v>0</v>
      </c>
      <c r="L54" s="26">
        <v>0</v>
      </c>
      <c r="M54" s="83">
        <f t="shared" si="31"/>
        <v>0</v>
      </c>
      <c r="N54" s="122"/>
      <c r="O54" s="126" t="s">
        <v>66</v>
      </c>
      <c r="P54" s="82">
        <v>-800</v>
      </c>
      <c r="Q54" s="25">
        <v>0</v>
      </c>
      <c r="R54" s="25">
        <v>0</v>
      </c>
      <c r="S54" s="26">
        <v>0</v>
      </c>
      <c r="T54" s="81">
        <f t="shared" si="36"/>
        <v>0</v>
      </c>
    </row>
    <row r="55" spans="1:20" s="86" customFormat="1" outlineLevel="1" x14ac:dyDescent="0.3">
      <c r="A55" s="119" t="s">
        <v>67</v>
      </c>
      <c r="B55" s="104">
        <f>SUM(B56:B64)</f>
        <v>20000</v>
      </c>
      <c r="C55" s="104">
        <f t="shared" ref="C55:F55" si="37">SUM(C56:C64)</f>
        <v>0</v>
      </c>
      <c r="D55" s="104">
        <f t="shared" si="37"/>
        <v>0</v>
      </c>
      <c r="E55" s="104">
        <f t="shared" si="37"/>
        <v>0</v>
      </c>
      <c r="F55" s="104">
        <f t="shared" si="37"/>
        <v>0</v>
      </c>
      <c r="G55" s="28">
        <f t="shared" si="1"/>
        <v>0</v>
      </c>
      <c r="H55" s="120" t="s">
        <v>67</v>
      </c>
      <c r="I55" s="82">
        <v>8000</v>
      </c>
      <c r="J55" s="25">
        <v>0</v>
      </c>
      <c r="K55" s="25">
        <f>2000+574+500+450+15+290+80+2775+13650+40+2799.26+165.75+600+1007+375.79+319.5+20</f>
        <v>25661.300000000003</v>
      </c>
      <c r="L55" s="26">
        <f>-(258.55+675+13.61+181.68+1400+872+2696.79+4686+23.99+25+350+300)</f>
        <v>-11482.62</v>
      </c>
      <c r="M55" s="83">
        <f t="shared" si="31"/>
        <v>14178.680000000002</v>
      </c>
      <c r="N55" s="122"/>
      <c r="O55" s="81" t="s">
        <v>67</v>
      </c>
      <c r="P55" s="82">
        <f>SUM(P56:P64)</f>
        <v>20000</v>
      </c>
      <c r="Q55" s="82">
        <f t="shared" ref="Q55:T55" si="38">SUM(Q56:Q64)</f>
        <v>0</v>
      </c>
      <c r="R55" s="82">
        <f t="shared" si="38"/>
        <v>0</v>
      </c>
      <c r="S55" s="82">
        <f t="shared" si="38"/>
        <v>0</v>
      </c>
      <c r="T55" s="82">
        <f t="shared" si="38"/>
        <v>0</v>
      </c>
    </row>
    <row r="56" spans="1:20" s="86" customFormat="1" outlineLevel="1" x14ac:dyDescent="0.3">
      <c r="A56" s="125" t="s">
        <v>68</v>
      </c>
      <c r="B56" s="104">
        <f>20000-SUM(B57:B64)</f>
        <v>12500</v>
      </c>
      <c r="C56" s="43">
        <v>0</v>
      </c>
      <c r="D56" s="43">
        <v>0</v>
      </c>
      <c r="E56" s="44">
        <v>0</v>
      </c>
      <c r="F56" s="119">
        <f t="shared" ref="F56:F64" si="39">(D56+E56)+C56</f>
        <v>0</v>
      </c>
      <c r="G56" s="28">
        <f t="shared" si="1"/>
        <v>0</v>
      </c>
      <c r="H56" s="120"/>
      <c r="I56" s="25">
        <v>0</v>
      </c>
      <c r="J56" s="25">
        <v>0</v>
      </c>
      <c r="K56" s="25">
        <v>0</v>
      </c>
      <c r="L56" s="26">
        <v>0</v>
      </c>
      <c r="M56" s="83">
        <f t="shared" si="31"/>
        <v>0</v>
      </c>
      <c r="N56" s="122"/>
      <c r="O56" s="126" t="s">
        <v>68</v>
      </c>
      <c r="P56" s="82">
        <f>20000-SUM(P57:P64)</f>
        <v>12500</v>
      </c>
      <c r="Q56" s="25">
        <v>0</v>
      </c>
      <c r="R56" s="25">
        <v>0</v>
      </c>
      <c r="S56" s="26">
        <v>0</v>
      </c>
      <c r="T56" s="81">
        <f t="shared" ref="T56:T64" si="40">(R56+S56)+Q56</f>
        <v>0</v>
      </c>
    </row>
    <row r="57" spans="1:20" s="86" customFormat="1" outlineLevel="1" x14ac:dyDescent="0.3">
      <c r="A57" s="125" t="s">
        <v>23</v>
      </c>
      <c r="B57" s="104">
        <v>500</v>
      </c>
      <c r="C57" s="43">
        <v>0</v>
      </c>
      <c r="D57" s="43">
        <v>0</v>
      </c>
      <c r="E57" s="44">
        <v>0</v>
      </c>
      <c r="F57" s="119">
        <f t="shared" si="39"/>
        <v>0</v>
      </c>
      <c r="G57" s="28">
        <f t="shared" si="1"/>
        <v>0</v>
      </c>
      <c r="H57" s="120"/>
      <c r="I57" s="25">
        <v>0</v>
      </c>
      <c r="J57" s="25">
        <v>0</v>
      </c>
      <c r="K57" s="25">
        <v>0</v>
      </c>
      <c r="L57" s="26">
        <v>0</v>
      </c>
      <c r="M57" s="83">
        <f t="shared" si="31"/>
        <v>0</v>
      </c>
      <c r="N57" s="122"/>
      <c r="O57" s="126" t="s">
        <v>23</v>
      </c>
      <c r="P57" s="82">
        <v>500</v>
      </c>
      <c r="Q57" s="25">
        <v>0</v>
      </c>
      <c r="R57" s="25">
        <v>0</v>
      </c>
      <c r="S57" s="26">
        <v>0</v>
      </c>
      <c r="T57" s="81">
        <f t="shared" si="40"/>
        <v>0</v>
      </c>
    </row>
    <row r="58" spans="1:20" s="86" customFormat="1" outlineLevel="1" x14ac:dyDescent="0.3">
      <c r="A58" s="125" t="s">
        <v>69</v>
      </c>
      <c r="B58" s="104">
        <v>1000</v>
      </c>
      <c r="C58" s="43">
        <v>0</v>
      </c>
      <c r="D58" s="43">
        <v>0</v>
      </c>
      <c r="E58" s="44">
        <v>0</v>
      </c>
      <c r="F58" s="119">
        <f t="shared" si="39"/>
        <v>0</v>
      </c>
      <c r="G58" s="28">
        <f t="shared" si="1"/>
        <v>0</v>
      </c>
      <c r="H58" s="120"/>
      <c r="I58" s="25">
        <v>0</v>
      </c>
      <c r="J58" s="25">
        <v>0</v>
      </c>
      <c r="K58" s="25">
        <v>0</v>
      </c>
      <c r="L58" s="26">
        <v>0</v>
      </c>
      <c r="M58" s="83">
        <f t="shared" si="31"/>
        <v>0</v>
      </c>
      <c r="N58" s="122"/>
      <c r="O58" s="126" t="s">
        <v>69</v>
      </c>
      <c r="P58" s="82">
        <v>1000</v>
      </c>
      <c r="Q58" s="25">
        <v>0</v>
      </c>
      <c r="R58" s="25">
        <v>0</v>
      </c>
      <c r="S58" s="26">
        <v>0</v>
      </c>
      <c r="T58" s="81">
        <f t="shared" si="40"/>
        <v>0</v>
      </c>
    </row>
    <row r="59" spans="1:20" s="86" customFormat="1" outlineLevel="1" x14ac:dyDescent="0.3">
      <c r="A59" s="125" t="s">
        <v>60</v>
      </c>
      <c r="B59" s="104">
        <v>300</v>
      </c>
      <c r="C59" s="43">
        <v>0</v>
      </c>
      <c r="D59" s="43">
        <v>0</v>
      </c>
      <c r="E59" s="44">
        <v>0</v>
      </c>
      <c r="F59" s="119">
        <f t="shared" si="39"/>
        <v>0</v>
      </c>
      <c r="G59" s="28">
        <f t="shared" si="1"/>
        <v>0</v>
      </c>
      <c r="H59" s="120"/>
      <c r="I59" s="25">
        <v>0</v>
      </c>
      <c r="J59" s="25">
        <v>0</v>
      </c>
      <c r="K59" s="25">
        <v>0</v>
      </c>
      <c r="L59" s="26">
        <v>0</v>
      </c>
      <c r="M59" s="83">
        <f t="shared" si="31"/>
        <v>0</v>
      </c>
      <c r="N59" s="122"/>
      <c r="O59" s="126" t="s">
        <v>60</v>
      </c>
      <c r="P59" s="82">
        <v>300</v>
      </c>
      <c r="Q59" s="25">
        <v>0</v>
      </c>
      <c r="R59" s="25">
        <v>0</v>
      </c>
      <c r="S59" s="26">
        <v>0</v>
      </c>
      <c r="T59" s="81">
        <f t="shared" si="40"/>
        <v>0</v>
      </c>
    </row>
    <row r="60" spans="1:20" s="86" customFormat="1" outlineLevel="1" x14ac:dyDescent="0.3">
      <c r="A60" s="125" t="s">
        <v>70</v>
      </c>
      <c r="B60" s="104">
        <v>400</v>
      </c>
      <c r="C60" s="43">
        <v>0</v>
      </c>
      <c r="D60" s="43">
        <v>0</v>
      </c>
      <c r="E60" s="44">
        <v>0</v>
      </c>
      <c r="F60" s="119">
        <f t="shared" si="39"/>
        <v>0</v>
      </c>
      <c r="G60" s="28">
        <f t="shared" si="1"/>
        <v>0</v>
      </c>
      <c r="H60" s="120"/>
      <c r="I60" s="25">
        <v>0</v>
      </c>
      <c r="J60" s="25">
        <v>0</v>
      </c>
      <c r="K60" s="25">
        <v>0</v>
      </c>
      <c r="L60" s="26">
        <v>0</v>
      </c>
      <c r="M60" s="83">
        <f t="shared" si="31"/>
        <v>0</v>
      </c>
      <c r="N60" s="122"/>
      <c r="O60" s="126" t="s">
        <v>70</v>
      </c>
      <c r="P60" s="82">
        <v>400</v>
      </c>
      <c r="Q60" s="25">
        <v>0</v>
      </c>
      <c r="R60" s="25">
        <v>0</v>
      </c>
      <c r="S60" s="26">
        <v>0</v>
      </c>
      <c r="T60" s="81">
        <f t="shared" si="40"/>
        <v>0</v>
      </c>
    </row>
    <row r="61" spans="1:20" s="86" customFormat="1" outlineLevel="1" x14ac:dyDescent="0.3">
      <c r="A61" s="125" t="s">
        <v>71</v>
      </c>
      <c r="B61" s="104">
        <v>2500</v>
      </c>
      <c r="C61" s="43">
        <v>0</v>
      </c>
      <c r="D61" s="43">
        <v>0</v>
      </c>
      <c r="E61" s="44">
        <v>0</v>
      </c>
      <c r="F61" s="119">
        <f t="shared" si="39"/>
        <v>0</v>
      </c>
      <c r="G61" s="28">
        <f t="shared" si="1"/>
        <v>0</v>
      </c>
      <c r="H61" s="120"/>
      <c r="I61" s="25">
        <v>0</v>
      </c>
      <c r="J61" s="25">
        <v>0</v>
      </c>
      <c r="K61" s="25">
        <v>0</v>
      </c>
      <c r="L61" s="26">
        <v>0</v>
      </c>
      <c r="M61" s="83">
        <f t="shared" si="31"/>
        <v>0</v>
      </c>
      <c r="N61" s="122"/>
      <c r="O61" s="126" t="s">
        <v>71</v>
      </c>
      <c r="P61" s="82">
        <v>2500</v>
      </c>
      <c r="Q61" s="25">
        <v>0</v>
      </c>
      <c r="R61" s="25">
        <v>0</v>
      </c>
      <c r="S61" s="26">
        <v>0</v>
      </c>
      <c r="T61" s="81">
        <f t="shared" si="40"/>
        <v>0</v>
      </c>
    </row>
    <row r="62" spans="1:20" s="86" customFormat="1" outlineLevel="1" x14ac:dyDescent="0.3">
      <c r="A62" s="125" t="s">
        <v>64</v>
      </c>
      <c r="B62" s="104">
        <f>-B52</f>
        <v>1000</v>
      </c>
      <c r="C62" s="43">
        <v>0</v>
      </c>
      <c r="D62" s="43">
        <v>0</v>
      </c>
      <c r="E62" s="44">
        <v>0</v>
      </c>
      <c r="F62" s="119">
        <f t="shared" si="39"/>
        <v>0</v>
      </c>
      <c r="G62" s="28">
        <f t="shared" si="1"/>
        <v>0</v>
      </c>
      <c r="H62" s="120"/>
      <c r="I62" s="25">
        <v>0</v>
      </c>
      <c r="J62" s="25">
        <v>0</v>
      </c>
      <c r="K62" s="25">
        <v>0</v>
      </c>
      <c r="L62" s="26">
        <v>0</v>
      </c>
      <c r="M62" s="83">
        <f t="shared" si="31"/>
        <v>0</v>
      </c>
      <c r="N62" s="122"/>
      <c r="O62" s="126" t="s">
        <v>64</v>
      </c>
      <c r="P62" s="82">
        <f>-P52</f>
        <v>1000</v>
      </c>
      <c r="Q62" s="25">
        <v>0</v>
      </c>
      <c r="R62" s="25">
        <v>0</v>
      </c>
      <c r="S62" s="26">
        <v>0</v>
      </c>
      <c r="T62" s="81">
        <f t="shared" si="40"/>
        <v>0</v>
      </c>
    </row>
    <row r="63" spans="1:20" s="86" customFormat="1" outlineLevel="1" x14ac:dyDescent="0.3">
      <c r="A63" s="125" t="s">
        <v>65</v>
      </c>
      <c r="B63" s="104">
        <f t="shared" ref="B63:B64" si="41">-B53</f>
        <v>1000</v>
      </c>
      <c r="C63" s="43">
        <v>0</v>
      </c>
      <c r="D63" s="43">
        <v>0</v>
      </c>
      <c r="E63" s="44">
        <v>0</v>
      </c>
      <c r="F63" s="119">
        <f t="shared" si="39"/>
        <v>0</v>
      </c>
      <c r="G63" s="28">
        <f t="shared" si="1"/>
        <v>0</v>
      </c>
      <c r="H63" s="120"/>
      <c r="I63" s="25">
        <v>0</v>
      </c>
      <c r="J63" s="25">
        <v>0</v>
      </c>
      <c r="K63" s="25">
        <v>0</v>
      </c>
      <c r="L63" s="26">
        <v>0</v>
      </c>
      <c r="M63" s="83">
        <f t="shared" si="31"/>
        <v>0</v>
      </c>
      <c r="N63" s="122"/>
      <c r="O63" s="126" t="s">
        <v>65</v>
      </c>
      <c r="P63" s="82">
        <f t="shared" ref="P63:P64" si="42">-P53</f>
        <v>1000</v>
      </c>
      <c r="Q63" s="25">
        <v>0</v>
      </c>
      <c r="R63" s="25">
        <v>0</v>
      </c>
      <c r="S63" s="26">
        <v>0</v>
      </c>
      <c r="T63" s="81">
        <f t="shared" si="40"/>
        <v>0</v>
      </c>
    </row>
    <row r="64" spans="1:20" s="86" customFormat="1" ht="14.5" outlineLevel="1" thickBot="1" x14ac:dyDescent="0.35">
      <c r="A64" s="125" t="s">
        <v>66</v>
      </c>
      <c r="B64" s="104">
        <f t="shared" si="41"/>
        <v>800</v>
      </c>
      <c r="C64" s="43">
        <v>0</v>
      </c>
      <c r="D64" s="43">
        <v>0</v>
      </c>
      <c r="E64" s="44">
        <v>0</v>
      </c>
      <c r="F64" s="119">
        <f t="shared" si="39"/>
        <v>0</v>
      </c>
      <c r="G64" s="28">
        <f t="shared" si="1"/>
        <v>0</v>
      </c>
      <c r="H64" s="120"/>
      <c r="I64" s="25">
        <v>0</v>
      </c>
      <c r="J64" s="25">
        <v>0</v>
      </c>
      <c r="K64" s="25">
        <v>0</v>
      </c>
      <c r="L64" s="26">
        <v>0</v>
      </c>
      <c r="M64" s="83">
        <f t="shared" si="31"/>
        <v>0</v>
      </c>
      <c r="N64" s="122"/>
      <c r="O64" s="126" t="s">
        <v>66</v>
      </c>
      <c r="P64" s="82">
        <f t="shared" si="42"/>
        <v>800</v>
      </c>
      <c r="Q64" s="25">
        <v>0</v>
      </c>
      <c r="R64" s="25">
        <v>0</v>
      </c>
      <c r="S64" s="26">
        <v>0</v>
      </c>
      <c r="T64" s="81">
        <f t="shared" si="40"/>
        <v>0</v>
      </c>
    </row>
    <row r="65" spans="1:20" ht="14.5" outlineLevel="1" thickBot="1" x14ac:dyDescent="0.35">
      <c r="A65" s="128" t="s">
        <v>72</v>
      </c>
      <c r="B65" s="97"/>
      <c r="C65" s="93">
        <f>SUM(C47:C55)</f>
        <v>0</v>
      </c>
      <c r="D65" s="93">
        <f>SUM(D47:D55)</f>
        <v>0</v>
      </c>
      <c r="E65" s="94">
        <f>SUM(E47:E55)</f>
        <v>0</v>
      </c>
      <c r="F65" s="129">
        <f>SUM(F47:F55)</f>
        <v>0</v>
      </c>
      <c r="G65" s="28">
        <f t="shared" si="1"/>
        <v>0</v>
      </c>
      <c r="H65" s="128" t="s">
        <v>72</v>
      </c>
      <c r="I65" s="97"/>
      <c r="J65" s="93">
        <f>SUM(J47:J55)</f>
        <v>0</v>
      </c>
      <c r="K65" s="93">
        <f>SUM(K47:K55)</f>
        <v>25661.300000000003</v>
      </c>
      <c r="L65" s="94">
        <f>SUM(L47:L55)</f>
        <v>-12721.5</v>
      </c>
      <c r="M65" s="129">
        <f>SUM(M47:M55)</f>
        <v>12939.800000000003</v>
      </c>
      <c r="O65" s="130" t="s">
        <v>72</v>
      </c>
      <c r="P65" s="99"/>
      <c r="Q65" s="100">
        <f>SUM(Q47:Q55)</f>
        <v>0</v>
      </c>
      <c r="R65" s="100">
        <f>SUM(R47:R55)</f>
        <v>376</v>
      </c>
      <c r="S65" s="101">
        <f>SUM(S47:S55)</f>
        <v>-5030.16</v>
      </c>
      <c r="T65" s="102">
        <f>SUM(T47:T55)</f>
        <v>-4654.16</v>
      </c>
    </row>
    <row r="66" spans="1:20" outlineLevel="1" x14ac:dyDescent="0.3">
      <c r="A66" s="103" t="s">
        <v>73</v>
      </c>
      <c r="B66" s="104">
        <v>0</v>
      </c>
      <c r="C66" s="43">
        <v>0</v>
      </c>
      <c r="D66" s="43">
        <v>0</v>
      </c>
      <c r="E66" s="44">
        <v>0</v>
      </c>
      <c r="F66" s="105">
        <f>(D66+E66)-C66</f>
        <v>0</v>
      </c>
      <c r="G66" s="28">
        <f t="shared" si="1"/>
        <v>0</v>
      </c>
      <c r="H66" s="81"/>
      <c r="I66" s="82">
        <v>0</v>
      </c>
      <c r="J66" s="25">
        <v>0</v>
      </c>
      <c r="K66" s="25">
        <v>0</v>
      </c>
      <c r="L66" s="26">
        <v>0</v>
      </c>
      <c r="M66" s="83">
        <f t="shared" ref="M66:M67" si="43">(K66+L66)-J66</f>
        <v>0</v>
      </c>
      <c r="N66" s="131" t="s">
        <v>74</v>
      </c>
      <c r="O66" s="106" t="s">
        <v>73</v>
      </c>
      <c r="P66" s="107">
        <v>0</v>
      </c>
      <c r="Q66" s="108">
        <v>0</v>
      </c>
      <c r="R66" s="108">
        <v>0</v>
      </c>
      <c r="S66" s="109">
        <v>0</v>
      </c>
      <c r="T66" s="110">
        <f t="shared" ref="T66:T67" si="44">(R66+S66)-Q66</f>
        <v>0</v>
      </c>
    </row>
    <row r="67" spans="1:20" s="86" customFormat="1" ht="14.5" outlineLevel="1" thickBot="1" x14ac:dyDescent="0.35">
      <c r="A67" s="103" t="s">
        <v>75</v>
      </c>
      <c r="B67" s="104">
        <v>0</v>
      </c>
      <c r="C67" s="43">
        <v>0</v>
      </c>
      <c r="D67" s="43">
        <v>0</v>
      </c>
      <c r="E67" s="44">
        <v>0</v>
      </c>
      <c r="F67" s="105">
        <f t="shared" ref="F67" si="45">(D67+E67)-C67</f>
        <v>0</v>
      </c>
      <c r="G67" s="28">
        <f t="shared" si="1"/>
        <v>0</v>
      </c>
      <c r="H67" s="81"/>
      <c r="I67" s="82">
        <v>0</v>
      </c>
      <c r="J67" s="25">
        <v>0</v>
      </c>
      <c r="K67" s="25">
        <v>0</v>
      </c>
      <c r="L67" s="26">
        <v>0</v>
      </c>
      <c r="M67" s="83">
        <f t="shared" si="43"/>
        <v>0</v>
      </c>
      <c r="N67" s="131"/>
      <c r="O67" s="111" t="s">
        <v>75</v>
      </c>
      <c r="P67" s="88">
        <v>0</v>
      </c>
      <c r="Q67" s="86">
        <v>0</v>
      </c>
      <c r="R67" s="112">
        <v>0</v>
      </c>
      <c r="S67" s="112">
        <v>0</v>
      </c>
      <c r="T67" s="90">
        <f t="shared" si="44"/>
        <v>0</v>
      </c>
    </row>
    <row r="68" spans="1:20" ht="14.5" outlineLevel="1" thickBot="1" x14ac:dyDescent="0.35">
      <c r="A68" s="132" t="s">
        <v>76</v>
      </c>
      <c r="B68" s="114"/>
      <c r="C68" s="115">
        <f>SUM(C66:C67)</f>
        <v>0</v>
      </c>
      <c r="D68" s="115">
        <f>SUM(D66:D67)</f>
        <v>0</v>
      </c>
      <c r="E68" s="116">
        <f t="shared" ref="E68:F68" si="46">SUM(E66:E67)</f>
        <v>0</v>
      </c>
      <c r="F68" s="133">
        <f t="shared" si="46"/>
        <v>0</v>
      </c>
      <c r="G68" s="28">
        <f t="shared" si="1"/>
        <v>0</v>
      </c>
      <c r="H68" s="134" t="s">
        <v>77</v>
      </c>
      <c r="I68" s="97"/>
      <c r="J68" s="93">
        <f t="shared" ref="J68" si="47">SUM(J66:J67)</f>
        <v>0</v>
      </c>
      <c r="K68" s="93">
        <f>SUM(K66:K67)</f>
        <v>0</v>
      </c>
      <c r="L68" s="94">
        <f t="shared" ref="L68:M68" si="48">SUM(L66:L67)</f>
        <v>0</v>
      </c>
      <c r="M68" s="135">
        <f t="shared" si="48"/>
        <v>0</v>
      </c>
      <c r="O68" s="98" t="s">
        <v>76</v>
      </c>
      <c r="P68" s="99"/>
      <c r="Q68" s="100">
        <f>SUM(Q66:Q67)</f>
        <v>0</v>
      </c>
      <c r="R68" s="100">
        <f>SUM(R66:R67)</f>
        <v>0</v>
      </c>
      <c r="S68" s="118">
        <f t="shared" ref="S68:T68" si="49">SUM(S66:S67)</f>
        <v>0</v>
      </c>
      <c r="T68" s="102">
        <f t="shared" si="49"/>
        <v>0</v>
      </c>
    </row>
    <row r="69" spans="1:20" outlineLevel="1" x14ac:dyDescent="0.3">
      <c r="A69" s="103" t="s">
        <v>78</v>
      </c>
      <c r="B69" s="104">
        <v>0</v>
      </c>
      <c r="C69" s="43">
        <v>0</v>
      </c>
      <c r="D69" s="43">
        <v>0</v>
      </c>
      <c r="E69" s="44">
        <v>0</v>
      </c>
      <c r="F69" s="105">
        <f>(D69+E69)-C69</f>
        <v>0</v>
      </c>
      <c r="G69" s="28">
        <f t="shared" si="1"/>
        <v>0</v>
      </c>
      <c r="H69" s="81" t="s">
        <v>78</v>
      </c>
      <c r="I69" s="82">
        <v>0</v>
      </c>
      <c r="J69" s="25">
        <v>0</v>
      </c>
      <c r="K69" s="25">
        <v>0</v>
      </c>
      <c r="L69" s="26">
        <v>0</v>
      </c>
      <c r="M69" s="83">
        <f t="shared" ref="M69:M70" si="50">(K69+L69)-J69</f>
        <v>0</v>
      </c>
      <c r="N69" t="s">
        <v>79</v>
      </c>
      <c r="O69" s="106" t="s">
        <v>78</v>
      </c>
      <c r="P69" s="107">
        <v>0</v>
      </c>
      <c r="Q69" s="108">
        <v>0</v>
      </c>
      <c r="R69" s="108">
        <f>1750</f>
        <v>1750</v>
      </c>
      <c r="S69" s="124">
        <f>-(2009+4225)</f>
        <v>-6234</v>
      </c>
      <c r="T69" s="110">
        <f t="shared" ref="T69:T70" si="51">(R69+S69)-Q69</f>
        <v>-4484</v>
      </c>
    </row>
    <row r="70" spans="1:20" s="86" customFormat="1" ht="14.5" outlineLevel="1" thickBot="1" x14ac:dyDescent="0.35">
      <c r="A70" s="103" t="s">
        <v>80</v>
      </c>
      <c r="B70" s="104">
        <v>0</v>
      </c>
      <c r="C70" s="43">
        <v>0</v>
      </c>
      <c r="D70" s="43">
        <v>0</v>
      </c>
      <c r="E70" s="44">
        <v>0</v>
      </c>
      <c r="F70" s="105">
        <f t="shared" ref="F70" si="52">(D70+E70)-C70</f>
        <v>0</v>
      </c>
      <c r="G70" s="28">
        <f t="shared" ref="G70:G144" si="53">C70-J70</f>
        <v>0</v>
      </c>
      <c r="H70" s="81" t="s">
        <v>80</v>
      </c>
      <c r="I70" s="82">
        <v>0</v>
      </c>
      <c r="J70" s="25"/>
      <c r="K70" s="25">
        <v>0</v>
      </c>
      <c r="L70" s="26">
        <v>0</v>
      </c>
      <c r="M70" s="83">
        <f t="shared" si="50"/>
        <v>0</v>
      </c>
      <c r="O70" s="111" t="s">
        <v>80</v>
      </c>
      <c r="P70" s="88">
        <v>0</v>
      </c>
      <c r="R70" s="136">
        <f>140+50+1100+1495+180+2300+2180+2075+75+1040+1470+425</f>
        <v>12530</v>
      </c>
      <c r="S70" s="112">
        <v>0</v>
      </c>
      <c r="T70" s="90">
        <f t="shared" si="51"/>
        <v>12530</v>
      </c>
    </row>
    <row r="71" spans="1:20" ht="14.5" outlineLevel="1" thickBot="1" x14ac:dyDescent="0.35">
      <c r="A71" s="132" t="s">
        <v>77</v>
      </c>
      <c r="B71" s="114"/>
      <c r="C71" s="115">
        <f t="shared" ref="C71:F71" si="54">SUM(C69:C70)</f>
        <v>0</v>
      </c>
      <c r="D71" s="115">
        <f>SUM(D69:D70)</f>
        <v>0</v>
      </c>
      <c r="E71" s="116">
        <f t="shared" si="54"/>
        <v>0</v>
      </c>
      <c r="F71" s="133">
        <f t="shared" si="54"/>
        <v>0</v>
      </c>
      <c r="G71" s="28">
        <f t="shared" si="53"/>
        <v>0</v>
      </c>
      <c r="H71" s="134" t="s">
        <v>77</v>
      </c>
      <c r="I71" s="97"/>
      <c r="J71" s="93">
        <f t="shared" ref="J71" si="55">SUM(J69:J70)</f>
        <v>0</v>
      </c>
      <c r="K71" s="93">
        <f>SUM(K69:K70)</f>
        <v>0</v>
      </c>
      <c r="L71" s="94">
        <f t="shared" ref="L71:M71" si="56">SUM(L69:L70)</f>
        <v>0</v>
      </c>
      <c r="M71" s="135">
        <f t="shared" si="56"/>
        <v>0</v>
      </c>
      <c r="O71" s="137" t="s">
        <v>77</v>
      </c>
      <c r="P71" s="99"/>
      <c r="Q71" s="100">
        <f t="shared" ref="Q71:T71" si="57">SUM(Q69:Q70)</f>
        <v>0</v>
      </c>
      <c r="R71" s="100">
        <f>SUM(R69:R70)</f>
        <v>14280</v>
      </c>
      <c r="S71" s="101">
        <f t="shared" si="57"/>
        <v>-6234</v>
      </c>
      <c r="T71" s="102">
        <f t="shared" si="57"/>
        <v>8046</v>
      </c>
    </row>
    <row r="72" spans="1:20" outlineLevel="1" x14ac:dyDescent="0.3">
      <c r="A72" s="103" t="s">
        <v>81</v>
      </c>
      <c r="B72" s="104">
        <v>0</v>
      </c>
      <c r="C72" s="43">
        <v>0</v>
      </c>
      <c r="D72" s="43">
        <v>0</v>
      </c>
      <c r="E72" s="44">
        <v>0</v>
      </c>
      <c r="F72" s="105">
        <f t="shared" ref="F72:F73" si="58">(D72+E72)-C72</f>
        <v>0</v>
      </c>
      <c r="G72" s="28">
        <f t="shared" si="53"/>
        <v>0</v>
      </c>
      <c r="H72" s="81" t="s">
        <v>81</v>
      </c>
      <c r="I72" s="82">
        <v>-1000</v>
      </c>
      <c r="J72" s="25">
        <v>0</v>
      </c>
      <c r="K72" s="25">
        <v>0</v>
      </c>
      <c r="L72" s="26">
        <v>0</v>
      </c>
      <c r="M72" s="83">
        <f t="shared" ref="M72:M73" si="59">(K72+L72)-J72</f>
        <v>0</v>
      </c>
      <c r="N72" t="s">
        <v>82</v>
      </c>
      <c r="O72" s="106" t="s">
        <v>81</v>
      </c>
      <c r="P72" s="107">
        <v>-1000</v>
      </c>
      <c r="Q72" s="108">
        <v>0</v>
      </c>
      <c r="R72" s="108">
        <v>0</v>
      </c>
      <c r="S72" s="109">
        <v>0</v>
      </c>
      <c r="T72" s="110">
        <f t="shared" ref="T72:T73" si="60">(R72+S72)-Q72</f>
        <v>0</v>
      </c>
    </row>
    <row r="73" spans="1:20" s="86" customFormat="1" ht="14.5" outlineLevel="1" thickBot="1" x14ac:dyDescent="0.35">
      <c r="A73" s="103" t="s">
        <v>81</v>
      </c>
      <c r="B73" s="104">
        <v>0</v>
      </c>
      <c r="C73" s="43">
        <v>0</v>
      </c>
      <c r="D73" s="43">
        <v>0</v>
      </c>
      <c r="E73" s="44">
        <v>0</v>
      </c>
      <c r="F73" s="105">
        <f t="shared" si="58"/>
        <v>0</v>
      </c>
      <c r="G73" s="28">
        <f t="shared" si="53"/>
        <v>0</v>
      </c>
      <c r="H73" s="81" t="s">
        <v>81</v>
      </c>
      <c r="I73" s="82">
        <v>1000</v>
      </c>
      <c r="J73" s="25">
        <v>0</v>
      </c>
      <c r="K73" s="25">
        <v>0</v>
      </c>
      <c r="L73" s="26">
        <v>0</v>
      </c>
      <c r="M73" s="83">
        <f t="shared" si="59"/>
        <v>0</v>
      </c>
      <c r="O73" s="111" t="s">
        <v>81</v>
      </c>
      <c r="P73" s="88">
        <v>1000</v>
      </c>
      <c r="Q73" s="89">
        <v>0</v>
      </c>
      <c r="R73" s="89">
        <v>0</v>
      </c>
      <c r="S73" s="112">
        <v>0</v>
      </c>
      <c r="T73" s="90">
        <f t="shared" si="60"/>
        <v>0</v>
      </c>
    </row>
    <row r="74" spans="1:20" ht="14.5" outlineLevel="1" thickBot="1" x14ac:dyDescent="0.35">
      <c r="A74" s="113" t="s">
        <v>83</v>
      </c>
      <c r="B74" s="114"/>
      <c r="C74" s="115">
        <f t="shared" ref="C74:F74" si="61">SUM(C72:C73)</f>
        <v>0</v>
      </c>
      <c r="D74" s="115">
        <f t="shared" si="61"/>
        <v>0</v>
      </c>
      <c r="E74" s="116">
        <f t="shared" si="61"/>
        <v>0</v>
      </c>
      <c r="F74" s="117">
        <f t="shared" si="61"/>
        <v>0</v>
      </c>
      <c r="G74" s="28">
        <f t="shared" si="53"/>
        <v>0</v>
      </c>
      <c r="H74" s="96" t="s">
        <v>83</v>
      </c>
      <c r="I74" s="97"/>
      <c r="J74" s="93">
        <f t="shared" ref="J74:M74" si="62">SUM(J72:J73)</f>
        <v>0</v>
      </c>
      <c r="K74" s="93">
        <f t="shared" si="62"/>
        <v>0</v>
      </c>
      <c r="L74" s="94">
        <f t="shared" si="62"/>
        <v>0</v>
      </c>
      <c r="M74" s="95">
        <f t="shared" si="62"/>
        <v>0</v>
      </c>
      <c r="O74" s="98" t="s">
        <v>83</v>
      </c>
      <c r="P74" s="99"/>
      <c r="Q74" s="100">
        <f t="shared" ref="Q74:T74" si="63">SUM(Q72:Q73)</f>
        <v>0</v>
      </c>
      <c r="R74" s="100">
        <f t="shared" si="63"/>
        <v>0</v>
      </c>
      <c r="S74" s="101">
        <f t="shared" si="63"/>
        <v>0</v>
      </c>
      <c r="T74" s="102">
        <f t="shared" si="63"/>
        <v>0</v>
      </c>
    </row>
    <row r="75" spans="1:20" outlineLevel="1" x14ac:dyDescent="0.3">
      <c r="A75" s="103" t="s">
        <v>84</v>
      </c>
      <c r="B75" s="104">
        <v>0</v>
      </c>
      <c r="C75" s="43">
        <v>0</v>
      </c>
      <c r="D75" s="43">
        <v>0</v>
      </c>
      <c r="E75" s="44">
        <v>0</v>
      </c>
      <c r="F75" s="105">
        <f t="shared" ref="F75:F76" si="64">(D75+E75)-C75</f>
        <v>0</v>
      </c>
      <c r="G75" s="28">
        <f t="shared" si="53"/>
        <v>0</v>
      </c>
      <c r="H75" s="81" t="s">
        <v>84</v>
      </c>
      <c r="I75" s="138" t="s">
        <v>85</v>
      </c>
      <c r="J75" s="25">
        <v>0</v>
      </c>
      <c r="K75" s="25">
        <v>0</v>
      </c>
      <c r="L75" s="26">
        <v>0</v>
      </c>
      <c r="M75" s="83">
        <f t="shared" ref="M75:M76" si="65">(K75+L75)-J75</f>
        <v>0</v>
      </c>
      <c r="N75" t="s">
        <v>82</v>
      </c>
      <c r="O75" s="106" t="s">
        <v>84</v>
      </c>
      <c r="P75" s="139" t="s">
        <v>85</v>
      </c>
      <c r="Q75" s="108">
        <v>0</v>
      </c>
      <c r="R75" s="108">
        <v>0</v>
      </c>
      <c r="S75" s="109">
        <v>0</v>
      </c>
      <c r="T75" s="110">
        <f t="shared" ref="T75:T76" si="66">(R75+S75)-Q75</f>
        <v>0</v>
      </c>
    </row>
    <row r="76" spans="1:20" s="86" customFormat="1" ht="14.5" outlineLevel="1" thickBot="1" x14ac:dyDescent="0.35">
      <c r="A76" s="103" t="s">
        <v>86</v>
      </c>
      <c r="B76" s="104">
        <v>0</v>
      </c>
      <c r="C76" s="43">
        <v>0</v>
      </c>
      <c r="D76" s="43">
        <v>0</v>
      </c>
      <c r="E76" s="44">
        <v>0</v>
      </c>
      <c r="F76" s="105">
        <f t="shared" si="64"/>
        <v>0</v>
      </c>
      <c r="G76" s="28">
        <f t="shared" si="53"/>
        <v>0</v>
      </c>
      <c r="H76" s="81" t="s">
        <v>86</v>
      </c>
      <c r="I76" s="82" t="s">
        <v>87</v>
      </c>
      <c r="J76" s="25">
        <v>0</v>
      </c>
      <c r="K76" s="25">
        <v>0</v>
      </c>
      <c r="L76" s="26">
        <v>0</v>
      </c>
      <c r="M76" s="83">
        <f t="shared" si="65"/>
        <v>0</v>
      </c>
      <c r="O76" s="111" t="s">
        <v>86</v>
      </c>
      <c r="P76" s="88" t="s">
        <v>87</v>
      </c>
      <c r="Q76" s="89">
        <v>0</v>
      </c>
      <c r="R76" s="89">
        <v>0</v>
      </c>
      <c r="S76" s="112">
        <v>0</v>
      </c>
      <c r="T76" s="90">
        <f t="shared" si="66"/>
        <v>0</v>
      </c>
    </row>
    <row r="77" spans="1:20" ht="14.5" outlineLevel="1" thickBot="1" x14ac:dyDescent="0.35">
      <c r="A77" s="96" t="s">
        <v>88</v>
      </c>
      <c r="B77" s="140"/>
      <c r="C77" s="93">
        <f t="shared" ref="C77:F77" si="67">SUM(C75:C76)</f>
        <v>0</v>
      </c>
      <c r="D77" s="93">
        <f t="shared" si="67"/>
        <v>0</v>
      </c>
      <c r="E77" s="94">
        <f t="shared" si="67"/>
        <v>0</v>
      </c>
      <c r="F77" s="95">
        <f t="shared" si="67"/>
        <v>0</v>
      </c>
      <c r="G77" s="28">
        <f t="shared" si="53"/>
        <v>0</v>
      </c>
      <c r="H77" s="96" t="s">
        <v>88</v>
      </c>
      <c r="I77" s="140"/>
      <c r="J77" s="93">
        <f t="shared" ref="J77:M77" si="68">SUM(J75:J76)</f>
        <v>0</v>
      </c>
      <c r="K77" s="93">
        <f t="shared" si="68"/>
        <v>0</v>
      </c>
      <c r="L77" s="94">
        <f t="shared" si="68"/>
        <v>0</v>
      </c>
      <c r="M77" s="95">
        <f t="shared" si="68"/>
        <v>0</v>
      </c>
      <c r="O77" s="98" t="s">
        <v>88</v>
      </c>
      <c r="P77" s="141"/>
      <c r="Q77" s="100">
        <f t="shared" ref="Q77:T77" si="69">SUM(Q75:Q76)</f>
        <v>0</v>
      </c>
      <c r="R77" s="100">
        <f t="shared" si="69"/>
        <v>0</v>
      </c>
      <c r="S77" s="101">
        <f t="shared" si="69"/>
        <v>0</v>
      </c>
      <c r="T77" s="102">
        <f t="shared" si="69"/>
        <v>0</v>
      </c>
    </row>
    <row r="78" spans="1:20" outlineLevel="1" x14ac:dyDescent="0.3">
      <c r="A78" s="142"/>
      <c r="B78" s="143"/>
      <c r="C78" s="143"/>
      <c r="D78" s="143"/>
      <c r="E78" s="144"/>
      <c r="F78" s="33"/>
      <c r="G78" s="28">
        <f t="shared" si="53"/>
        <v>0</v>
      </c>
      <c r="H78" s="142"/>
      <c r="I78" s="143"/>
      <c r="J78" s="143"/>
      <c r="K78" s="143"/>
      <c r="L78" s="144"/>
      <c r="M78" s="33"/>
      <c r="O78" s="145"/>
      <c r="P78" s="146"/>
      <c r="Q78" s="146"/>
      <c r="R78" s="146"/>
      <c r="S78" s="147"/>
      <c r="T78" s="148"/>
    </row>
    <row r="79" spans="1:20" x14ac:dyDescent="0.3">
      <c r="A79" s="149" t="s">
        <v>89</v>
      </c>
      <c r="B79" s="143"/>
      <c r="C79" s="150">
        <f>C37+C46+C65+C77+C40+C43+C71+C74</f>
        <v>0</v>
      </c>
      <c r="D79" s="150">
        <f>D37+D46+D65+D77+D40+D43+D71+D74</f>
        <v>0</v>
      </c>
      <c r="E79" s="151">
        <f>E37+E46+E65+E77+E40+E43+E71+E74</f>
        <v>0</v>
      </c>
      <c r="F79" s="152">
        <f>F37+F46+F65+F77+F40+F43+F71+F74</f>
        <v>0</v>
      </c>
      <c r="G79" s="28">
        <f t="shared" si="53"/>
        <v>0</v>
      </c>
      <c r="H79" s="149" t="s">
        <v>89</v>
      </c>
      <c r="I79" s="143"/>
      <c r="J79" s="150">
        <f>J37+J46+J65+J77+J40+J43+J71+J74</f>
        <v>0</v>
      </c>
      <c r="K79" s="150">
        <f>K37+K46+K65+K77+K40+K43+K71+K74</f>
        <v>28640.300000000003</v>
      </c>
      <c r="L79" s="151">
        <f>L37+L46+L65+L77+L40+L43+L71+L74</f>
        <v>-15704.91</v>
      </c>
      <c r="M79" s="152">
        <f>M37+M46+M65+M77+M40+M43+M71+M74</f>
        <v>12935.390000000003</v>
      </c>
      <c r="O79" s="149" t="s">
        <v>89</v>
      </c>
      <c r="P79" s="143"/>
      <c r="Q79" s="153">
        <f>Q37+Q46+Q65+Q77+Q40+Q43+Q71+Q74</f>
        <v>0</v>
      </c>
      <c r="R79" s="153">
        <f>R37+R46+R65+R77+R40+R43+R71+R74</f>
        <v>18216</v>
      </c>
      <c r="S79" s="154">
        <f>S37+S46+S65+S77+S40+S43+S71+S74</f>
        <v>-13311.56</v>
      </c>
      <c r="T79" s="155">
        <f>T37+T46+T65+T77+T40+T43+T71+T74</f>
        <v>4904.4400000000005</v>
      </c>
    </row>
    <row r="80" spans="1:20" ht="20.5" thickBot="1" x14ac:dyDescent="0.45">
      <c r="A80" s="156" t="s">
        <v>90</v>
      </c>
      <c r="B80" s="157"/>
      <c r="C80" s="158">
        <f>C30+C32+C79</f>
        <v>28150</v>
      </c>
      <c r="D80" s="158">
        <f>D30+D32+D79</f>
        <v>0</v>
      </c>
      <c r="E80" s="159">
        <f>E30+E32+E79</f>
        <v>0</v>
      </c>
      <c r="F80" s="160">
        <f>F30+F32+F79</f>
        <v>-28150</v>
      </c>
      <c r="G80" s="28">
        <f t="shared" si="53"/>
        <v>7250</v>
      </c>
      <c r="H80" s="156" t="s">
        <v>90</v>
      </c>
      <c r="I80" s="157"/>
      <c r="J80" s="158">
        <f>J30+J32+J79</f>
        <v>20900</v>
      </c>
      <c r="K80" s="158">
        <f>K30+K32+K79</f>
        <v>82434.02</v>
      </c>
      <c r="L80" s="159">
        <f>L30+L32+L79</f>
        <v>-38324.1</v>
      </c>
      <c r="M80" s="160">
        <f>M30+M32+M79</f>
        <v>23209.920000000006</v>
      </c>
      <c r="O80" s="161" t="s">
        <v>90</v>
      </c>
      <c r="P80" s="162"/>
      <c r="Q80" s="163">
        <f>Q30+Q32+Q79</f>
        <v>18900</v>
      </c>
      <c r="R80" s="163">
        <f>R30+R32+R79</f>
        <v>52111.18</v>
      </c>
      <c r="S80" s="164">
        <f>S30+S32+S79</f>
        <v>-24042.34</v>
      </c>
      <c r="T80" s="165">
        <f>T30+T32+T79</f>
        <v>9168.84</v>
      </c>
    </row>
    <row r="81" spans="1:20" ht="14.5" thickBot="1" x14ac:dyDescent="0.35">
      <c r="A81" s="166"/>
      <c r="B81" s="73"/>
      <c r="C81" s="73"/>
      <c r="D81" s="73"/>
      <c r="E81" s="74"/>
      <c r="G81" s="28">
        <f t="shared" si="53"/>
        <v>0</v>
      </c>
      <c r="H81" s="166"/>
      <c r="I81" s="73"/>
      <c r="J81" s="73"/>
      <c r="K81" s="73"/>
      <c r="L81" s="74"/>
      <c r="O81" s="167"/>
      <c r="P81" s="73"/>
      <c r="Q81" s="73"/>
      <c r="R81" s="73"/>
      <c r="S81" s="73"/>
      <c r="T81" s="73"/>
    </row>
    <row r="82" spans="1:20" ht="32.5" x14ac:dyDescent="0.65">
      <c r="A82" s="76" t="s">
        <v>91</v>
      </c>
      <c r="B82" s="77"/>
      <c r="C82" s="168"/>
      <c r="D82" s="77"/>
      <c r="E82" s="79"/>
      <c r="F82" s="80"/>
      <c r="G82" s="28">
        <f t="shared" si="53"/>
        <v>0</v>
      </c>
      <c r="H82" s="76" t="s">
        <v>91</v>
      </c>
      <c r="I82" s="77"/>
      <c r="J82" s="168"/>
      <c r="K82" s="77"/>
      <c r="L82" s="79"/>
      <c r="M82" s="80"/>
      <c r="O82" s="16" t="s">
        <v>91</v>
      </c>
      <c r="P82" s="17"/>
      <c r="Q82" s="18"/>
      <c r="R82" s="19"/>
      <c r="S82" s="20"/>
      <c r="T82" s="21"/>
    </row>
    <row r="83" spans="1:20" x14ac:dyDescent="0.3">
      <c r="A83" s="169" t="s">
        <v>92</v>
      </c>
      <c r="B83" s="170"/>
      <c r="C83" s="171"/>
      <c r="D83" s="172"/>
      <c r="E83" s="173"/>
      <c r="F83" s="174"/>
      <c r="G83" s="28">
        <f t="shared" si="53"/>
        <v>0</v>
      </c>
      <c r="H83" s="169" t="s">
        <v>92</v>
      </c>
      <c r="I83" s="170"/>
      <c r="J83" s="171"/>
      <c r="K83" s="172"/>
      <c r="L83" s="173"/>
      <c r="M83" s="174"/>
      <c r="O83" s="169" t="s">
        <v>92</v>
      </c>
      <c r="P83" s="170"/>
      <c r="Q83" s="175"/>
      <c r="R83" s="176"/>
      <c r="S83" s="177"/>
      <c r="T83" s="178"/>
    </row>
    <row r="84" spans="1:20" s="29" customFormat="1" x14ac:dyDescent="0.3">
      <c r="A84" s="179" t="s">
        <v>93</v>
      </c>
      <c r="B84" s="180"/>
      <c r="C84" s="25">
        <f>C32-SUM(C89,C86)</f>
        <v>11075</v>
      </c>
      <c r="D84" s="25">
        <v>0</v>
      </c>
      <c r="E84" s="181">
        <v>0</v>
      </c>
      <c r="F84" s="182">
        <f t="shared" ref="F84:F86" si="70">(D84+E84)+C84</f>
        <v>11075</v>
      </c>
      <c r="G84" s="28">
        <f t="shared" si="53"/>
        <v>1575</v>
      </c>
      <c r="H84" s="179" t="s">
        <v>93</v>
      </c>
      <c r="I84" s="180"/>
      <c r="J84" s="25">
        <v>9500</v>
      </c>
      <c r="K84" s="25">
        <f>237+176</f>
        <v>413</v>
      </c>
      <c r="L84" s="181">
        <f>-(1095+1795+1275+1953+1199+200+385+1650+2800+502.91+658.5+10.86)</f>
        <v>-13524.27</v>
      </c>
      <c r="M84" s="182">
        <f t="shared" ref="M84:M86" si="71">(K84+L84)+J84</f>
        <v>-3611.2700000000004</v>
      </c>
      <c r="O84" s="183" t="s">
        <v>93</v>
      </c>
      <c r="P84" s="184"/>
      <c r="Q84" s="32">
        <v>6500</v>
      </c>
      <c r="R84" s="33"/>
      <c r="S84" s="33">
        <f>-(600+286+2700+26.97+650+188.48+172.53+102.97)</f>
        <v>-4726.9499999999989</v>
      </c>
      <c r="T84" s="27">
        <f t="shared" ref="T84:T86" si="72">(R84+S84)+Q84</f>
        <v>1773.0500000000011</v>
      </c>
    </row>
    <row r="85" spans="1:20" x14ac:dyDescent="0.3">
      <c r="A85" s="185" t="s">
        <v>94</v>
      </c>
      <c r="B85" s="186"/>
      <c r="C85" s="43">
        <v>20000</v>
      </c>
      <c r="D85" s="43">
        <v>0</v>
      </c>
      <c r="E85" s="187">
        <v>0</v>
      </c>
      <c r="F85" s="103">
        <f t="shared" si="70"/>
        <v>20000</v>
      </c>
      <c r="G85" s="28"/>
      <c r="H85" s="188" t="s">
        <v>94</v>
      </c>
      <c r="I85" s="143"/>
      <c r="J85" s="25">
        <v>0</v>
      </c>
      <c r="K85" s="25">
        <v>0</v>
      </c>
      <c r="L85" s="181">
        <v>-19500</v>
      </c>
      <c r="M85" s="81">
        <f>(K85+L85)+J85</f>
        <v>-19500</v>
      </c>
      <c r="O85" s="188" t="s">
        <v>94</v>
      </c>
      <c r="P85" s="143"/>
      <c r="Q85" s="33">
        <v>0</v>
      </c>
      <c r="R85" s="33">
        <v>0</v>
      </c>
      <c r="S85" s="34">
        <v>0</v>
      </c>
      <c r="T85" s="35">
        <f t="shared" si="72"/>
        <v>0</v>
      </c>
    </row>
    <row r="86" spans="1:20" s="29" customFormat="1" ht="14.5" thickBot="1" x14ac:dyDescent="0.35">
      <c r="A86" s="189" t="s">
        <v>95</v>
      </c>
      <c r="B86" s="190"/>
      <c r="C86" s="25">
        <v>500</v>
      </c>
      <c r="D86" s="25">
        <v>0</v>
      </c>
      <c r="E86" s="181">
        <v>0</v>
      </c>
      <c r="F86" s="182">
        <f t="shared" si="70"/>
        <v>500</v>
      </c>
      <c r="G86" s="28">
        <f t="shared" si="53"/>
        <v>0</v>
      </c>
      <c r="H86" s="189" t="s">
        <v>95</v>
      </c>
      <c r="I86" s="190"/>
      <c r="J86" s="25">
        <v>500</v>
      </c>
      <c r="K86" s="25">
        <v>0</v>
      </c>
      <c r="L86" s="181">
        <v>0</v>
      </c>
      <c r="M86" s="182">
        <f t="shared" si="71"/>
        <v>500</v>
      </c>
      <c r="O86" s="191" t="s">
        <v>95</v>
      </c>
      <c r="P86" s="184"/>
      <c r="Q86" s="33">
        <v>500</v>
      </c>
      <c r="R86" s="33">
        <v>0</v>
      </c>
      <c r="S86" s="34">
        <v>0</v>
      </c>
      <c r="T86" s="35">
        <f t="shared" si="72"/>
        <v>500</v>
      </c>
    </row>
    <row r="87" spans="1:20" s="29" customFormat="1" ht="14.5" thickBot="1" x14ac:dyDescent="0.35">
      <c r="A87" s="192" t="s">
        <v>96</v>
      </c>
      <c r="B87" s="190"/>
      <c r="C87" s="150">
        <f>SUM(C84:C86)</f>
        <v>31575</v>
      </c>
      <c r="D87" s="150">
        <f>SUM(D84:D86)</f>
        <v>0</v>
      </c>
      <c r="E87" s="193">
        <f>SUM(E84:E86)</f>
        <v>0</v>
      </c>
      <c r="F87" s="194">
        <f>SUM(F84:F86)</f>
        <v>31575</v>
      </c>
      <c r="G87" s="28">
        <f t="shared" si="53"/>
        <v>21575</v>
      </c>
      <c r="H87" s="192" t="s">
        <v>96</v>
      </c>
      <c r="I87" s="190"/>
      <c r="J87" s="150">
        <f>SUM(J84:J86)</f>
        <v>10000</v>
      </c>
      <c r="K87" s="150">
        <f>SUM(K84:K86)</f>
        <v>413</v>
      </c>
      <c r="L87" s="193">
        <f>SUM(L84:L86)</f>
        <v>-33024.270000000004</v>
      </c>
      <c r="M87" s="194">
        <f>SUM(M84:M86)</f>
        <v>-22611.27</v>
      </c>
      <c r="O87" s="98" t="s">
        <v>96</v>
      </c>
      <c r="P87" s="141"/>
      <c r="Q87" s="100">
        <f>SUM(Q84:Q86)</f>
        <v>7000</v>
      </c>
      <c r="R87" s="100">
        <f>SUM(R84:R86)</f>
        <v>0</v>
      </c>
      <c r="S87" s="101">
        <f>SUM(S84:S86)</f>
        <v>-4726.9499999999989</v>
      </c>
      <c r="T87" s="102">
        <f>SUM(T84:T86)</f>
        <v>2273.0500000000011</v>
      </c>
    </row>
    <row r="88" spans="1:20" x14ac:dyDescent="0.3">
      <c r="A88" s="195" t="s">
        <v>97</v>
      </c>
      <c r="B88" s="143"/>
      <c r="C88" s="196"/>
      <c r="D88" s="143"/>
      <c r="E88" s="197"/>
      <c r="F88" s="198"/>
      <c r="G88" s="28">
        <f t="shared" si="53"/>
        <v>0</v>
      </c>
      <c r="H88" s="195" t="s">
        <v>97</v>
      </c>
      <c r="I88" s="143"/>
      <c r="J88" s="196"/>
      <c r="K88" s="143"/>
      <c r="L88" s="197"/>
      <c r="M88" s="198"/>
      <c r="O88" s="169" t="s">
        <v>97</v>
      </c>
      <c r="P88" s="170"/>
      <c r="Q88" s="175"/>
      <c r="R88" s="176"/>
      <c r="S88" s="177"/>
      <c r="T88" s="178"/>
    </row>
    <row r="89" spans="1:20" x14ac:dyDescent="0.3">
      <c r="A89" s="185" t="s">
        <v>98</v>
      </c>
      <c r="B89" s="186"/>
      <c r="C89" s="43">
        <v>425</v>
      </c>
      <c r="D89" s="43">
        <v>0</v>
      </c>
      <c r="E89" s="187">
        <v>0</v>
      </c>
      <c r="F89" s="103">
        <f t="shared" ref="F89:F94" si="73">(D89+E89)+C89</f>
        <v>425</v>
      </c>
      <c r="G89" s="28">
        <f t="shared" si="53"/>
        <v>0</v>
      </c>
      <c r="H89" s="188" t="s">
        <v>98</v>
      </c>
      <c r="I89" s="143"/>
      <c r="J89" s="25">
        <v>425</v>
      </c>
      <c r="K89" s="25">
        <v>0</v>
      </c>
      <c r="L89" s="25">
        <v>0</v>
      </c>
      <c r="M89" s="81">
        <f t="shared" ref="M89:M94" si="74">(K89+L89)+J89</f>
        <v>425</v>
      </c>
      <c r="N89" s="122" t="s">
        <v>99</v>
      </c>
      <c r="O89" s="191" t="s">
        <v>98</v>
      </c>
      <c r="P89" s="184"/>
      <c r="Q89" s="33">
        <v>425</v>
      </c>
      <c r="R89" s="33">
        <v>0</v>
      </c>
      <c r="S89" s="34">
        <v>0</v>
      </c>
      <c r="T89" s="35">
        <f t="shared" ref="T89:T94" si="75">(R89+S89)+Q89</f>
        <v>425</v>
      </c>
    </row>
    <row r="90" spans="1:20" x14ac:dyDescent="0.3">
      <c r="A90" s="185" t="s">
        <v>100</v>
      </c>
      <c r="B90" s="186"/>
      <c r="C90" s="43">
        <v>425</v>
      </c>
      <c r="D90" s="43">
        <v>0</v>
      </c>
      <c r="E90" s="187">
        <v>0</v>
      </c>
      <c r="F90" s="103">
        <f t="shared" si="73"/>
        <v>425</v>
      </c>
      <c r="G90" s="28">
        <f t="shared" si="53"/>
        <v>0</v>
      </c>
      <c r="H90" s="188" t="s">
        <v>98</v>
      </c>
      <c r="I90" s="143"/>
      <c r="J90" s="25">
        <v>425</v>
      </c>
      <c r="K90" s="25">
        <v>0</v>
      </c>
      <c r="L90" s="25">
        <v>0</v>
      </c>
      <c r="M90" s="81">
        <f t="shared" si="74"/>
        <v>425</v>
      </c>
      <c r="N90" s="122"/>
      <c r="O90" s="191" t="s">
        <v>98</v>
      </c>
      <c r="P90" s="184"/>
      <c r="Q90" s="33">
        <v>425</v>
      </c>
      <c r="R90" s="33">
        <v>0</v>
      </c>
      <c r="S90" s="34">
        <v>0</v>
      </c>
      <c r="T90" s="35">
        <f t="shared" si="75"/>
        <v>425</v>
      </c>
    </row>
    <row r="91" spans="1:20" x14ac:dyDescent="0.3">
      <c r="A91" s="185" t="s">
        <v>101</v>
      </c>
      <c r="B91" s="186"/>
      <c r="C91" s="43">
        <v>0</v>
      </c>
      <c r="D91" s="43">
        <v>0</v>
      </c>
      <c r="E91" s="187">
        <v>0</v>
      </c>
      <c r="F91" s="103">
        <f t="shared" si="73"/>
        <v>0</v>
      </c>
      <c r="G91" s="28">
        <f t="shared" si="53"/>
        <v>0</v>
      </c>
      <c r="H91" s="188" t="s">
        <v>101</v>
      </c>
      <c r="I91" s="143"/>
      <c r="J91" s="25">
        <v>0</v>
      </c>
      <c r="K91" s="25">
        <v>0</v>
      </c>
      <c r="L91" s="181">
        <v>0</v>
      </c>
      <c r="M91" s="81">
        <f t="shared" si="74"/>
        <v>0</v>
      </c>
      <c r="N91" s="122"/>
      <c r="O91" s="191" t="s">
        <v>101</v>
      </c>
      <c r="P91" s="184"/>
      <c r="Q91" s="33">
        <v>0</v>
      </c>
      <c r="R91" s="33">
        <v>0</v>
      </c>
      <c r="S91" s="34">
        <v>0</v>
      </c>
      <c r="T91" s="35">
        <f t="shared" si="75"/>
        <v>0</v>
      </c>
    </row>
    <row r="92" spans="1:20" x14ac:dyDescent="0.3">
      <c r="A92" s="185" t="s">
        <v>102</v>
      </c>
      <c r="B92" s="186"/>
      <c r="C92" s="43">
        <v>0</v>
      </c>
      <c r="D92" s="43">
        <v>0</v>
      </c>
      <c r="E92" s="187">
        <v>0</v>
      </c>
      <c r="F92" s="103">
        <f t="shared" si="73"/>
        <v>0</v>
      </c>
      <c r="G92" s="28">
        <f t="shared" si="53"/>
        <v>-5000</v>
      </c>
      <c r="H92" s="188" t="s">
        <v>102</v>
      </c>
      <c r="I92" s="143"/>
      <c r="J92" s="25">
        <v>5000</v>
      </c>
      <c r="K92" s="25">
        <v>0</v>
      </c>
      <c r="L92" s="181">
        <v>0</v>
      </c>
      <c r="M92" s="81">
        <f t="shared" si="74"/>
        <v>5000</v>
      </c>
      <c r="N92" s="122"/>
      <c r="O92" s="191" t="s">
        <v>102</v>
      </c>
      <c r="P92" s="184"/>
      <c r="Q92" s="33">
        <v>5000</v>
      </c>
      <c r="R92" s="33">
        <v>0</v>
      </c>
      <c r="S92" s="34">
        <v>0</v>
      </c>
      <c r="T92" s="35">
        <f t="shared" si="75"/>
        <v>5000</v>
      </c>
    </row>
    <row r="93" spans="1:20" x14ac:dyDescent="0.3">
      <c r="A93" s="185" t="s">
        <v>103</v>
      </c>
      <c r="B93" s="186"/>
      <c r="C93" s="43">
        <v>0</v>
      </c>
      <c r="D93" s="43">
        <v>0</v>
      </c>
      <c r="E93" s="187">
        <v>0</v>
      </c>
      <c r="F93" s="103">
        <f t="shared" si="73"/>
        <v>0</v>
      </c>
      <c r="G93" s="28">
        <f t="shared" si="53"/>
        <v>-5800</v>
      </c>
      <c r="H93" s="188" t="s">
        <v>103</v>
      </c>
      <c r="I93" s="143"/>
      <c r="J93" s="25">
        <v>5800</v>
      </c>
      <c r="K93" s="25">
        <v>0</v>
      </c>
      <c r="L93" s="181">
        <v>0</v>
      </c>
      <c r="M93" s="81">
        <f t="shared" si="74"/>
        <v>5800</v>
      </c>
      <c r="N93" s="122"/>
      <c r="O93" s="191" t="s">
        <v>103</v>
      </c>
      <c r="P93" s="184"/>
      <c r="Q93" s="33">
        <v>5800</v>
      </c>
      <c r="R93" s="33">
        <v>0</v>
      </c>
      <c r="S93" s="34">
        <v>0</v>
      </c>
      <c r="T93" s="35">
        <f t="shared" si="75"/>
        <v>5800</v>
      </c>
    </row>
    <row r="94" spans="1:20" ht="14.5" thickBot="1" x14ac:dyDescent="0.35">
      <c r="A94" s="103" t="s">
        <v>104</v>
      </c>
      <c r="B94" s="105"/>
      <c r="C94" s="43">
        <v>0</v>
      </c>
      <c r="D94" s="43">
        <v>0</v>
      </c>
      <c r="E94" s="187">
        <v>0</v>
      </c>
      <c r="F94" s="103">
        <f t="shared" si="73"/>
        <v>0</v>
      </c>
      <c r="G94" s="28">
        <f t="shared" si="53"/>
        <v>0</v>
      </c>
      <c r="H94" s="81" t="s">
        <v>104</v>
      </c>
      <c r="I94" s="83"/>
      <c r="J94" s="25">
        <v>0</v>
      </c>
      <c r="K94" s="25">
        <v>0</v>
      </c>
      <c r="L94" s="181">
        <v>0</v>
      </c>
      <c r="M94" s="81">
        <f t="shared" si="74"/>
        <v>0</v>
      </c>
      <c r="N94" s="122"/>
      <c r="O94" s="199" t="s">
        <v>104</v>
      </c>
      <c r="P94" s="200"/>
      <c r="Q94" s="33">
        <v>0</v>
      </c>
      <c r="R94" s="33">
        <v>0</v>
      </c>
      <c r="S94" s="34">
        <v>0</v>
      </c>
      <c r="T94" s="35">
        <f t="shared" si="75"/>
        <v>0</v>
      </c>
    </row>
    <row r="95" spans="1:20" ht="14.5" thickBot="1" x14ac:dyDescent="0.35">
      <c r="A95" s="149" t="s">
        <v>105</v>
      </c>
      <c r="B95" s="143"/>
      <c r="C95" s="150">
        <f>SUM(C89:C94)</f>
        <v>850</v>
      </c>
      <c r="D95" s="150">
        <f t="shared" ref="D95:F95" si="76">SUM(D89:D94)</f>
        <v>0</v>
      </c>
      <c r="E95" s="193">
        <f t="shared" si="76"/>
        <v>0</v>
      </c>
      <c r="F95" s="201">
        <f t="shared" si="76"/>
        <v>850</v>
      </c>
      <c r="G95" s="28">
        <f t="shared" si="53"/>
        <v>-10800</v>
      </c>
      <c r="H95" s="149" t="s">
        <v>105</v>
      </c>
      <c r="I95" s="143"/>
      <c r="J95" s="150">
        <f>SUM(J89:J94)</f>
        <v>11650</v>
      </c>
      <c r="K95" s="150">
        <f t="shared" ref="K95:M95" si="77">SUM(K89:K94)</f>
        <v>0</v>
      </c>
      <c r="L95" s="193">
        <f>SUM(L85:L94)</f>
        <v>-52524.270000000004</v>
      </c>
      <c r="M95" s="201">
        <f t="shared" si="77"/>
        <v>11650</v>
      </c>
      <c r="O95" s="98" t="s">
        <v>105</v>
      </c>
      <c r="P95" s="141"/>
      <c r="Q95" s="100">
        <f>SUM(Q89:Q94)</f>
        <v>11650</v>
      </c>
      <c r="R95" s="100">
        <f t="shared" ref="R95:T95" si="78">SUM(R89:R94)</f>
        <v>0</v>
      </c>
      <c r="S95" s="101">
        <f t="shared" si="78"/>
        <v>0</v>
      </c>
      <c r="T95" s="102">
        <f t="shared" si="78"/>
        <v>11650</v>
      </c>
    </row>
    <row r="96" spans="1:20" x14ac:dyDescent="0.3">
      <c r="A96" s="195" t="s">
        <v>106</v>
      </c>
      <c r="B96" s="143"/>
      <c r="C96" s="196"/>
      <c r="D96" s="143"/>
      <c r="E96" s="197"/>
      <c r="F96" s="198"/>
      <c r="G96" s="28">
        <f t="shared" si="53"/>
        <v>0</v>
      </c>
      <c r="H96" s="195" t="s">
        <v>106</v>
      </c>
      <c r="I96" s="143"/>
      <c r="J96" s="196"/>
      <c r="K96" s="143"/>
      <c r="L96" s="197"/>
      <c r="M96" s="198"/>
      <c r="O96" s="169" t="s">
        <v>106</v>
      </c>
      <c r="P96" s="170"/>
      <c r="Q96" s="175"/>
      <c r="R96" s="176"/>
      <c r="S96" s="177"/>
      <c r="T96" s="178"/>
    </row>
    <row r="97" spans="1:20" x14ac:dyDescent="0.3">
      <c r="A97" s="188" t="s">
        <v>107</v>
      </c>
      <c r="B97" s="143"/>
      <c r="C97" s="25">
        <v>200</v>
      </c>
      <c r="D97" s="25">
        <v>0</v>
      </c>
      <c r="E97" s="181">
        <v>0</v>
      </c>
      <c r="F97" s="81">
        <f t="shared" ref="F97:F100" si="79">(D97+E97)+C97</f>
        <v>200</v>
      </c>
      <c r="G97" s="28">
        <f t="shared" si="53"/>
        <v>0</v>
      </c>
      <c r="H97" s="188" t="s">
        <v>107</v>
      </c>
      <c r="I97" s="143"/>
      <c r="J97" s="25">
        <v>200</v>
      </c>
      <c r="K97" s="25">
        <v>0</v>
      </c>
      <c r="L97" s="181">
        <v>0</v>
      </c>
      <c r="M97" s="81">
        <f t="shared" ref="M97:M100" si="80">(K97+L97)+J97</f>
        <v>200</v>
      </c>
      <c r="O97" s="191" t="s">
        <v>107</v>
      </c>
      <c r="P97" s="184"/>
      <c r="Q97" s="33">
        <v>200</v>
      </c>
      <c r="R97" s="33">
        <v>0</v>
      </c>
      <c r="S97" s="34">
        <v>0</v>
      </c>
      <c r="T97" s="35">
        <f t="shared" ref="T97:T100" si="81">(R97+S97)+Q97</f>
        <v>200</v>
      </c>
    </row>
    <row r="98" spans="1:20" x14ac:dyDescent="0.3">
      <c r="A98" s="185" t="s">
        <v>108</v>
      </c>
      <c r="B98" s="186"/>
      <c r="C98" s="43">
        <v>500</v>
      </c>
      <c r="D98" s="43">
        <v>0</v>
      </c>
      <c r="E98" s="187">
        <v>0</v>
      </c>
      <c r="F98" s="103">
        <f t="shared" si="79"/>
        <v>500</v>
      </c>
      <c r="G98" s="28">
        <f t="shared" si="53"/>
        <v>0</v>
      </c>
      <c r="H98" s="188" t="s">
        <v>108</v>
      </c>
      <c r="I98" s="143"/>
      <c r="J98" s="25">
        <v>500</v>
      </c>
      <c r="K98" s="25">
        <v>0</v>
      </c>
      <c r="L98" s="181">
        <f>-(2175+400)</f>
        <v>-2575</v>
      </c>
      <c r="M98" s="81">
        <f t="shared" si="80"/>
        <v>-2075</v>
      </c>
      <c r="N98" t="s">
        <v>109</v>
      </c>
      <c r="O98" s="191" t="s">
        <v>108</v>
      </c>
      <c r="P98" s="184"/>
      <c r="Q98" s="33">
        <v>500</v>
      </c>
      <c r="R98" s="33">
        <v>0</v>
      </c>
      <c r="S98" s="34">
        <v>0</v>
      </c>
      <c r="T98" s="35">
        <f t="shared" si="81"/>
        <v>500</v>
      </c>
    </row>
    <row r="99" spans="1:20" x14ac:dyDescent="0.3">
      <c r="A99" s="85" t="s">
        <v>110</v>
      </c>
      <c r="B99" s="202"/>
      <c r="C99" s="25">
        <v>3000</v>
      </c>
      <c r="D99" s="25">
        <v>0</v>
      </c>
      <c r="E99" s="181"/>
      <c r="F99" s="81">
        <f t="shared" si="79"/>
        <v>3000</v>
      </c>
      <c r="G99" s="28">
        <f t="shared" si="53"/>
        <v>2700</v>
      </c>
      <c r="H99" s="85" t="s">
        <v>110</v>
      </c>
      <c r="I99" s="202"/>
      <c r="J99" s="25">
        <v>300</v>
      </c>
      <c r="K99" s="25">
        <v>0</v>
      </c>
      <c r="L99" s="181"/>
      <c r="M99" s="81">
        <f t="shared" si="80"/>
        <v>300</v>
      </c>
      <c r="N99" t="s">
        <v>111</v>
      </c>
      <c r="O99" s="191" t="s">
        <v>110</v>
      </c>
      <c r="P99" s="184"/>
      <c r="Q99" s="33">
        <v>300</v>
      </c>
      <c r="R99" s="33">
        <v>0</v>
      </c>
      <c r="S99" s="34">
        <v>0</v>
      </c>
      <c r="T99" s="35">
        <f t="shared" si="81"/>
        <v>300</v>
      </c>
    </row>
    <row r="100" spans="1:20" s="29" customFormat="1" ht="14.5" thickBot="1" x14ac:dyDescent="0.35">
      <c r="A100" s="203" t="s">
        <v>112</v>
      </c>
      <c r="B100" s="204"/>
      <c r="C100" s="43">
        <v>0</v>
      </c>
      <c r="D100" s="43">
        <v>0</v>
      </c>
      <c r="E100" s="187">
        <v>0</v>
      </c>
      <c r="F100" s="203">
        <f t="shared" si="79"/>
        <v>0</v>
      </c>
      <c r="G100" s="28">
        <f t="shared" si="53"/>
        <v>-250</v>
      </c>
      <c r="H100" s="182" t="s">
        <v>112</v>
      </c>
      <c r="I100" s="205"/>
      <c r="J100" s="25">
        <v>250</v>
      </c>
      <c r="K100" s="25">
        <v>0</v>
      </c>
      <c r="L100" s="181">
        <v>0</v>
      </c>
      <c r="M100" s="182">
        <f t="shared" si="80"/>
        <v>250</v>
      </c>
      <c r="N100" s="29" t="s">
        <v>48</v>
      </c>
      <c r="O100" s="191" t="s">
        <v>112</v>
      </c>
      <c r="P100" s="184"/>
      <c r="Q100" s="33">
        <v>500</v>
      </c>
      <c r="R100" s="33">
        <v>0</v>
      </c>
      <c r="S100" s="34">
        <v>0</v>
      </c>
      <c r="T100" s="35">
        <f t="shared" si="81"/>
        <v>500</v>
      </c>
    </row>
    <row r="101" spans="1:20" ht="14.5" thickBot="1" x14ac:dyDescent="0.35">
      <c r="A101" s="149" t="s">
        <v>113</v>
      </c>
      <c r="B101" s="143"/>
      <c r="C101" s="150">
        <f>SUM(C97:C100)</f>
        <v>3700</v>
      </c>
      <c r="D101" s="150">
        <f t="shared" ref="D101:F101" si="82">SUM(D97:D100)</f>
        <v>0</v>
      </c>
      <c r="E101" s="193">
        <f t="shared" si="82"/>
        <v>0</v>
      </c>
      <c r="F101" s="201">
        <f t="shared" si="82"/>
        <v>3700</v>
      </c>
      <c r="G101" s="28">
        <f t="shared" si="53"/>
        <v>2450</v>
      </c>
      <c r="H101" s="149" t="s">
        <v>113</v>
      </c>
      <c r="I101" s="143"/>
      <c r="J101" s="150">
        <f>SUM(J97:J100)</f>
        <v>1250</v>
      </c>
      <c r="K101" s="150">
        <f t="shared" ref="K101:M101" si="83">SUM(K97:K100)</f>
        <v>0</v>
      </c>
      <c r="L101" s="193">
        <f t="shared" si="83"/>
        <v>-2575</v>
      </c>
      <c r="M101" s="201">
        <f t="shared" si="83"/>
        <v>-1325</v>
      </c>
      <c r="O101" s="98" t="s">
        <v>113</v>
      </c>
      <c r="P101" s="141"/>
      <c r="Q101" s="100">
        <f>SUM(Q97:Q100)</f>
        <v>1500</v>
      </c>
      <c r="R101" s="100">
        <f t="shared" ref="R101:T101" si="84">SUM(R97:R100)</f>
        <v>0</v>
      </c>
      <c r="S101" s="101">
        <f t="shared" si="84"/>
        <v>0</v>
      </c>
      <c r="T101" s="102">
        <f t="shared" si="84"/>
        <v>1500</v>
      </c>
    </row>
    <row r="102" spans="1:20" x14ac:dyDescent="0.3">
      <c r="A102" s="195" t="s">
        <v>114</v>
      </c>
      <c r="B102" s="143"/>
      <c r="C102" s="196"/>
      <c r="D102" s="143"/>
      <c r="E102" s="197"/>
      <c r="F102" s="198"/>
      <c r="G102" s="28">
        <f t="shared" si="53"/>
        <v>0</v>
      </c>
      <c r="H102" s="195" t="s">
        <v>114</v>
      </c>
      <c r="I102" s="143"/>
      <c r="J102" s="196"/>
      <c r="K102" s="143"/>
      <c r="L102" s="197"/>
      <c r="M102" s="198"/>
      <c r="O102" s="169" t="s">
        <v>114</v>
      </c>
      <c r="P102" s="170"/>
      <c r="Q102" s="175"/>
      <c r="R102" s="176"/>
      <c r="S102" s="177"/>
      <c r="T102" s="178"/>
    </row>
    <row r="103" spans="1:20" x14ac:dyDescent="0.3">
      <c r="A103" s="120" t="s">
        <v>115</v>
      </c>
      <c r="B103" s="121"/>
      <c r="C103" s="206">
        <v>50</v>
      </c>
      <c r="D103" s="25">
        <v>0</v>
      </c>
      <c r="E103" s="181">
        <v>0</v>
      </c>
      <c r="F103" s="120">
        <f t="shared" ref="F103:F108" si="85">(D103+E103)+C103</f>
        <v>50</v>
      </c>
      <c r="G103" s="28">
        <f t="shared" si="53"/>
        <v>0</v>
      </c>
      <c r="H103" s="120" t="s">
        <v>115</v>
      </c>
      <c r="I103" s="121"/>
      <c r="J103" s="206">
        <v>50</v>
      </c>
      <c r="K103" s="207">
        <v>8.51</v>
      </c>
      <c r="L103" s="208">
        <f>-(12+33.51)</f>
        <v>-45.51</v>
      </c>
      <c r="M103" s="120">
        <f t="shared" ref="M103:M108" si="86">(K103+L103)+J103</f>
        <v>13</v>
      </c>
      <c r="O103" s="191" t="s">
        <v>115</v>
      </c>
      <c r="P103" s="184"/>
      <c r="Q103" s="209">
        <v>50</v>
      </c>
      <c r="R103" s="209">
        <v>0</v>
      </c>
      <c r="S103" s="210">
        <v>0</v>
      </c>
      <c r="T103" s="211">
        <f t="shared" ref="T103:T108" si="87">(R103+S103)+Q103</f>
        <v>50</v>
      </c>
    </row>
    <row r="104" spans="1:20" x14ac:dyDescent="0.3">
      <c r="A104" s="120" t="s">
        <v>116</v>
      </c>
      <c r="B104" s="121"/>
      <c r="C104" s="206">
        <v>500</v>
      </c>
      <c r="D104" s="25">
        <v>0</v>
      </c>
      <c r="E104" s="181">
        <v>0</v>
      </c>
      <c r="F104" s="120">
        <f t="shared" si="85"/>
        <v>500</v>
      </c>
      <c r="G104" s="28">
        <f t="shared" si="53"/>
        <v>0</v>
      </c>
      <c r="H104" s="120" t="s">
        <v>116</v>
      </c>
      <c r="I104" s="121"/>
      <c r="J104" s="206">
        <v>500</v>
      </c>
      <c r="K104" s="206">
        <v>3515.32</v>
      </c>
      <c r="L104" s="208">
        <v>-3515.32</v>
      </c>
      <c r="M104" s="120">
        <f t="shared" si="86"/>
        <v>500</v>
      </c>
      <c r="O104" s="191" t="s">
        <v>116</v>
      </c>
      <c r="P104" s="184"/>
      <c r="Q104" s="209">
        <v>500</v>
      </c>
      <c r="R104" s="209">
        <v>0</v>
      </c>
      <c r="S104" s="210">
        <v>0</v>
      </c>
      <c r="T104" s="211">
        <f t="shared" si="87"/>
        <v>500</v>
      </c>
    </row>
    <row r="105" spans="1:20" x14ac:dyDescent="0.3">
      <c r="A105" s="120" t="s">
        <v>117</v>
      </c>
      <c r="B105" s="121"/>
      <c r="C105" s="206">
        <v>500</v>
      </c>
      <c r="D105" s="25">
        <v>0</v>
      </c>
      <c r="E105" s="181">
        <v>0</v>
      </c>
      <c r="F105" s="120">
        <f t="shared" si="85"/>
        <v>500</v>
      </c>
      <c r="G105" s="28">
        <f t="shared" si="53"/>
        <v>0</v>
      </c>
      <c r="H105" s="120" t="s">
        <v>117</v>
      </c>
      <c r="I105" s="121"/>
      <c r="J105" s="206">
        <v>500</v>
      </c>
      <c r="K105" s="206">
        <v>0</v>
      </c>
      <c r="L105" s="208">
        <v>0</v>
      </c>
      <c r="M105" s="120">
        <f t="shared" si="86"/>
        <v>500</v>
      </c>
      <c r="O105" s="212" t="s">
        <v>117</v>
      </c>
      <c r="P105" s="121"/>
      <c r="Q105" s="213">
        <v>500</v>
      </c>
      <c r="R105" s="209">
        <v>0</v>
      </c>
      <c r="S105" s="210">
        <v>0</v>
      </c>
      <c r="T105" s="211">
        <f t="shared" si="87"/>
        <v>500</v>
      </c>
    </row>
    <row r="106" spans="1:20" x14ac:dyDescent="0.3">
      <c r="A106" s="119" t="s">
        <v>118</v>
      </c>
      <c r="B106" s="127"/>
      <c r="C106" s="207">
        <v>0</v>
      </c>
      <c r="D106" s="43">
        <v>0</v>
      </c>
      <c r="E106" s="187">
        <v>0</v>
      </c>
      <c r="F106" s="119">
        <f t="shared" si="85"/>
        <v>0</v>
      </c>
      <c r="G106" s="28">
        <f t="shared" si="53"/>
        <v>-360</v>
      </c>
      <c r="H106" s="120" t="s">
        <v>118</v>
      </c>
      <c r="I106" s="121"/>
      <c r="J106" s="206">
        <v>360</v>
      </c>
      <c r="K106" s="206">
        <v>0</v>
      </c>
      <c r="L106" s="208">
        <v>0</v>
      </c>
      <c r="M106" s="120">
        <f t="shared" si="86"/>
        <v>360</v>
      </c>
      <c r="O106" s="191" t="s">
        <v>118</v>
      </c>
      <c r="P106" s="184"/>
      <c r="Q106" s="209">
        <v>360</v>
      </c>
      <c r="R106" s="209">
        <v>0</v>
      </c>
      <c r="S106" s="210">
        <v>0</v>
      </c>
      <c r="T106" s="211">
        <f t="shared" si="87"/>
        <v>360</v>
      </c>
    </row>
    <row r="107" spans="1:20" x14ac:dyDescent="0.3">
      <c r="A107" s="120" t="s">
        <v>119</v>
      </c>
      <c r="B107" s="121"/>
      <c r="C107" s="206">
        <v>25</v>
      </c>
      <c r="D107" s="25">
        <v>0</v>
      </c>
      <c r="E107" s="181">
        <v>0</v>
      </c>
      <c r="F107" s="120">
        <f t="shared" si="85"/>
        <v>25</v>
      </c>
      <c r="G107" s="28">
        <f t="shared" si="53"/>
        <v>0</v>
      </c>
      <c r="H107" s="120" t="s">
        <v>119</v>
      </c>
      <c r="I107" s="121"/>
      <c r="J107" s="206">
        <v>25</v>
      </c>
      <c r="K107" s="206">
        <v>0</v>
      </c>
      <c r="L107" s="208">
        <v>0</v>
      </c>
      <c r="M107" s="120">
        <f t="shared" si="86"/>
        <v>25</v>
      </c>
      <c r="O107" s="214" t="s">
        <v>119</v>
      </c>
      <c r="P107" s="215"/>
      <c r="Q107" s="209">
        <v>25</v>
      </c>
      <c r="R107" s="209">
        <v>0</v>
      </c>
      <c r="S107" s="210">
        <v>0</v>
      </c>
      <c r="T107" s="211">
        <f t="shared" si="87"/>
        <v>25</v>
      </c>
    </row>
    <row r="108" spans="1:20" s="29" customFormat="1" x14ac:dyDescent="0.3">
      <c r="A108" s="216" t="s">
        <v>120</v>
      </c>
      <c r="B108" s="217"/>
      <c r="C108" s="206">
        <v>150</v>
      </c>
      <c r="D108" s="25">
        <v>0</v>
      </c>
      <c r="E108" s="181">
        <v>0</v>
      </c>
      <c r="F108" s="216">
        <f t="shared" si="85"/>
        <v>150</v>
      </c>
      <c r="G108" s="28">
        <f t="shared" si="53"/>
        <v>0</v>
      </c>
      <c r="H108" s="216" t="s">
        <v>120</v>
      </c>
      <c r="I108" s="217"/>
      <c r="J108" s="206">
        <v>150</v>
      </c>
      <c r="K108" s="206">
        <v>0</v>
      </c>
      <c r="L108" s="208">
        <v>-150</v>
      </c>
      <c r="M108" s="216">
        <f t="shared" si="86"/>
        <v>0</v>
      </c>
      <c r="O108" s="214" t="s">
        <v>120</v>
      </c>
      <c r="P108" s="215"/>
      <c r="Q108" s="209">
        <v>50</v>
      </c>
      <c r="R108" s="209">
        <v>0</v>
      </c>
      <c r="S108" s="34">
        <v>-150</v>
      </c>
      <c r="T108" s="211">
        <f t="shared" si="87"/>
        <v>-100</v>
      </c>
    </row>
    <row r="109" spans="1:20" s="29" customFormat="1" x14ac:dyDescent="0.3">
      <c r="A109" s="216" t="s">
        <v>121</v>
      </c>
      <c r="B109" s="217"/>
      <c r="C109" s="206">
        <v>600</v>
      </c>
      <c r="D109" s="25">
        <v>0</v>
      </c>
      <c r="E109" s="181">
        <v>0</v>
      </c>
      <c r="F109" s="216">
        <f>(D109+E109)+C109</f>
        <v>600</v>
      </c>
      <c r="G109" s="28">
        <f t="shared" si="53"/>
        <v>-200</v>
      </c>
      <c r="H109" s="216" t="s">
        <v>121</v>
      </c>
      <c r="I109" s="217"/>
      <c r="J109" s="206">
        <v>800</v>
      </c>
      <c r="K109" s="206">
        <v>0</v>
      </c>
      <c r="L109" s="208">
        <f>-(449+122.81)</f>
        <v>-571.80999999999995</v>
      </c>
      <c r="M109" s="216">
        <f>(K109+L109)+J109</f>
        <v>228.19000000000005</v>
      </c>
      <c r="O109" s="214" t="s">
        <v>121</v>
      </c>
      <c r="P109" s="215"/>
      <c r="Q109" s="209">
        <v>1000</v>
      </c>
      <c r="R109" s="209">
        <v>0</v>
      </c>
      <c r="S109" s="33">
        <f>-(449+122.81)</f>
        <v>-571.80999999999995</v>
      </c>
      <c r="T109" s="211">
        <f>(R109+S109)+Q109</f>
        <v>428.19000000000005</v>
      </c>
    </row>
    <row r="110" spans="1:20" s="29" customFormat="1" x14ac:dyDescent="0.3">
      <c r="A110" s="216" t="s">
        <v>122</v>
      </c>
      <c r="B110" s="217"/>
      <c r="C110" s="206">
        <v>500</v>
      </c>
      <c r="D110" s="25">
        <v>0</v>
      </c>
      <c r="E110" s="181">
        <v>0</v>
      </c>
      <c r="F110" s="216">
        <f t="shared" ref="F110:F111" si="88">(D110+E110)+C110</f>
        <v>500</v>
      </c>
      <c r="G110" s="28">
        <f t="shared" si="53"/>
        <v>0</v>
      </c>
      <c r="H110" s="216" t="s">
        <v>122</v>
      </c>
      <c r="I110" s="217"/>
      <c r="J110" s="206">
        <v>500</v>
      </c>
      <c r="K110" s="206">
        <v>0</v>
      </c>
      <c r="L110" s="208">
        <v>-107.79</v>
      </c>
      <c r="M110" s="216">
        <f t="shared" ref="M110:M111" si="89">(K110+L110)+J110</f>
        <v>392.21</v>
      </c>
      <c r="O110" s="214" t="s">
        <v>122</v>
      </c>
      <c r="P110" s="215"/>
      <c r="Q110" s="209">
        <v>1000</v>
      </c>
      <c r="R110" s="209">
        <v>0</v>
      </c>
      <c r="S110" s="34">
        <f>-(26.11+19.59+4.45+130.54+151.12+29+212.14)</f>
        <v>-572.95000000000005</v>
      </c>
      <c r="T110" s="211">
        <f t="shared" ref="T110:T112" si="90">(R110+S110)+Q110</f>
        <v>427.04999999999995</v>
      </c>
    </row>
    <row r="111" spans="1:20" x14ac:dyDescent="0.3">
      <c r="A111" s="120" t="s">
        <v>123</v>
      </c>
      <c r="B111" s="121"/>
      <c r="C111" s="206">
        <v>1500</v>
      </c>
      <c r="D111" s="25">
        <v>0</v>
      </c>
      <c r="E111" s="181">
        <v>0</v>
      </c>
      <c r="F111" s="120">
        <f t="shared" si="88"/>
        <v>1500</v>
      </c>
      <c r="G111" s="28">
        <f t="shared" si="53"/>
        <v>0</v>
      </c>
      <c r="H111" s="120" t="s">
        <v>123</v>
      </c>
      <c r="I111" s="121"/>
      <c r="J111" s="206">
        <v>1500</v>
      </c>
      <c r="K111" s="206">
        <v>0</v>
      </c>
      <c r="L111" s="208">
        <f>-(100+203.15+224.04+230.66+93.08+81.66+190.11)</f>
        <v>-1122.6999999999998</v>
      </c>
      <c r="M111" s="120">
        <f t="shared" si="89"/>
        <v>377.30000000000018</v>
      </c>
      <c r="O111" s="214" t="s">
        <v>123</v>
      </c>
      <c r="P111" s="215"/>
      <c r="Q111" s="209">
        <v>1500</v>
      </c>
      <c r="R111" s="209">
        <v>0</v>
      </c>
      <c r="S111" s="33">
        <f>-(31.59+66.58)</f>
        <v>-98.17</v>
      </c>
      <c r="T111" s="211">
        <f t="shared" si="90"/>
        <v>1401.83</v>
      </c>
    </row>
    <row r="112" spans="1:20" ht="14.5" thickBot="1" x14ac:dyDescent="0.35">
      <c r="A112" s="119" t="s">
        <v>124</v>
      </c>
      <c r="B112" s="127"/>
      <c r="C112" s="207">
        <v>0</v>
      </c>
      <c r="D112" s="43">
        <v>0</v>
      </c>
      <c r="E112" s="187">
        <v>0</v>
      </c>
      <c r="F112" s="119">
        <f>(D112+E112)+C112</f>
        <v>0</v>
      </c>
      <c r="G112" s="28">
        <f>C112-J112</f>
        <v>0</v>
      </c>
      <c r="H112" s="120" t="s">
        <v>124</v>
      </c>
      <c r="I112" s="121"/>
      <c r="J112" s="206">
        <v>0</v>
      </c>
      <c r="K112" s="206">
        <v>0</v>
      </c>
      <c r="L112" s="208">
        <v>0</v>
      </c>
      <c r="M112" s="120">
        <f>(K112+L112)+J112</f>
        <v>0</v>
      </c>
      <c r="N112" s="29" t="s">
        <v>48</v>
      </c>
      <c r="O112" s="212" t="s">
        <v>124</v>
      </c>
      <c r="P112" s="121"/>
      <c r="Q112" s="209">
        <v>0</v>
      </c>
      <c r="R112" s="209">
        <v>0</v>
      </c>
      <c r="S112" s="210">
        <v>0</v>
      </c>
      <c r="T112" s="211">
        <f t="shared" si="90"/>
        <v>0</v>
      </c>
    </row>
    <row r="113" spans="1:20" ht="14.5" thickBot="1" x14ac:dyDescent="0.35">
      <c r="A113" s="218" t="s">
        <v>125</v>
      </c>
      <c r="B113" s="143"/>
      <c r="C113" s="219">
        <f>SUM(C103:C111)</f>
        <v>3825</v>
      </c>
      <c r="D113" s="219">
        <f>SUM(D103:D111)</f>
        <v>0</v>
      </c>
      <c r="E113" s="220">
        <f>SUM(E103:E111)</f>
        <v>0</v>
      </c>
      <c r="F113" s="221">
        <f>SUM(F103:F111)</f>
        <v>3825</v>
      </c>
      <c r="G113" s="28">
        <f t="shared" si="53"/>
        <v>-560</v>
      </c>
      <c r="H113" s="218" t="s">
        <v>125</v>
      </c>
      <c r="I113" s="143"/>
      <c r="J113" s="219">
        <f>SUM(J103:J111)</f>
        <v>4385</v>
      </c>
      <c r="K113" s="219">
        <f>SUM(K103:K111)</f>
        <v>3523.8300000000004</v>
      </c>
      <c r="L113" s="220">
        <f>SUM(L103:L111)</f>
        <v>-5513.13</v>
      </c>
      <c r="M113" s="221">
        <f>SUM(M103:M111)</f>
        <v>2395.7000000000003</v>
      </c>
      <c r="O113" s="98" t="s">
        <v>125</v>
      </c>
      <c r="P113" s="141"/>
      <c r="Q113" s="100">
        <f>SUM(Q103:Q112)</f>
        <v>4985</v>
      </c>
      <c r="R113" s="100">
        <f>SUM(R103:R112)</f>
        <v>0</v>
      </c>
      <c r="S113" s="101">
        <f>SUM(S103:S112)</f>
        <v>-1392.93</v>
      </c>
      <c r="T113" s="102">
        <f>SUM(T103:T112)</f>
        <v>3592.0699999999997</v>
      </c>
    </row>
    <row r="114" spans="1:20" x14ac:dyDescent="0.3">
      <c r="A114" s="195" t="s">
        <v>126</v>
      </c>
      <c r="B114" s="143"/>
      <c r="C114" s="222"/>
      <c r="D114" s="143"/>
      <c r="E114" s="197"/>
      <c r="F114" s="198"/>
      <c r="G114" s="28">
        <f t="shared" si="53"/>
        <v>0</v>
      </c>
      <c r="H114" s="195" t="s">
        <v>126</v>
      </c>
      <c r="I114" s="143"/>
      <c r="J114" s="222"/>
      <c r="K114" s="143"/>
      <c r="L114" s="197"/>
      <c r="M114" s="198"/>
      <c r="O114" s="169" t="s">
        <v>126</v>
      </c>
      <c r="P114" s="170"/>
      <c r="Q114" s="175"/>
      <c r="R114" s="176"/>
      <c r="S114" s="177"/>
      <c r="T114" s="178"/>
    </row>
    <row r="115" spans="1:20" x14ac:dyDescent="0.3">
      <c r="A115" s="120" t="s">
        <v>63</v>
      </c>
      <c r="B115" s="121"/>
      <c r="C115" s="25">
        <v>0</v>
      </c>
      <c r="D115" s="25">
        <v>0</v>
      </c>
      <c r="E115" s="26">
        <v>0</v>
      </c>
      <c r="F115" s="120">
        <f>(D115+E115)+C115</f>
        <v>0</v>
      </c>
      <c r="G115" s="28">
        <f t="shared" si="53"/>
        <v>-1000</v>
      </c>
      <c r="H115" s="120" t="s">
        <v>63</v>
      </c>
      <c r="I115" s="121"/>
      <c r="J115" s="206">
        <v>1000</v>
      </c>
      <c r="K115" s="25">
        <v>0</v>
      </c>
      <c r="L115" s="187">
        <f>-(1164+21)</f>
        <v>-1185</v>
      </c>
      <c r="M115" s="120">
        <f>(K115+L115)+J115</f>
        <v>-185</v>
      </c>
      <c r="O115" s="212" t="s">
        <v>63</v>
      </c>
      <c r="P115" s="121"/>
      <c r="Q115" s="209">
        <v>1000</v>
      </c>
      <c r="R115" s="33">
        <v>0</v>
      </c>
      <c r="S115" s="124">
        <v>-1036.25</v>
      </c>
      <c r="T115" s="35">
        <f t="shared" ref="T115:T120" si="91">(R115+S115)+Q115</f>
        <v>-36.25</v>
      </c>
    </row>
    <row r="116" spans="1:20" x14ac:dyDescent="0.3">
      <c r="A116" s="120" t="s">
        <v>127</v>
      </c>
      <c r="B116" s="121"/>
      <c r="C116" s="206">
        <v>500</v>
      </c>
      <c r="D116" s="25">
        <v>0</v>
      </c>
      <c r="E116" s="181">
        <v>0</v>
      </c>
      <c r="F116" s="120">
        <f t="shared" ref="F116:F120" si="92">(D116+E116)+C116</f>
        <v>500</v>
      </c>
      <c r="G116" s="28">
        <f t="shared" si="53"/>
        <v>0</v>
      </c>
      <c r="H116" s="120" t="s">
        <v>127</v>
      </c>
      <c r="I116" s="121"/>
      <c r="J116" s="206">
        <v>500</v>
      </c>
      <c r="K116" s="25">
        <v>0</v>
      </c>
      <c r="L116" s="181">
        <v>0</v>
      </c>
      <c r="M116" s="120">
        <f t="shared" ref="M116:M120" si="93">(K116+L116)+J116</f>
        <v>500</v>
      </c>
      <c r="O116" s="212" t="s">
        <v>127</v>
      </c>
      <c r="P116" s="121"/>
      <c r="Q116" s="209">
        <v>500</v>
      </c>
      <c r="R116" s="33">
        <v>0</v>
      </c>
      <c r="S116" s="34">
        <v>0</v>
      </c>
      <c r="T116" s="35">
        <f t="shared" si="91"/>
        <v>500</v>
      </c>
    </row>
    <row r="117" spans="1:20" x14ac:dyDescent="0.3">
      <c r="A117" s="81" t="s">
        <v>128</v>
      </c>
      <c r="B117" s="83"/>
      <c r="C117" s="25">
        <v>300</v>
      </c>
      <c r="D117" s="25">
        <v>0</v>
      </c>
      <c r="E117" s="181">
        <v>0</v>
      </c>
      <c r="F117" s="81">
        <f t="shared" si="92"/>
        <v>300</v>
      </c>
      <c r="G117" s="28">
        <f t="shared" si="53"/>
        <v>0</v>
      </c>
      <c r="H117" s="81" t="s">
        <v>128</v>
      </c>
      <c r="I117" s="83"/>
      <c r="J117" s="25">
        <v>300</v>
      </c>
      <c r="K117" s="25">
        <v>0</v>
      </c>
      <c r="L117" s="181">
        <v>0</v>
      </c>
      <c r="M117" s="81">
        <f t="shared" si="93"/>
        <v>300</v>
      </c>
      <c r="O117" s="212" t="s">
        <v>128</v>
      </c>
      <c r="P117" s="121"/>
      <c r="Q117" s="209">
        <v>300</v>
      </c>
      <c r="R117" s="33">
        <v>0</v>
      </c>
      <c r="S117" s="34">
        <v>-178.02</v>
      </c>
      <c r="T117" s="35">
        <f t="shared" si="91"/>
        <v>121.97999999999999</v>
      </c>
    </row>
    <row r="118" spans="1:20" x14ac:dyDescent="0.3">
      <c r="A118" s="120" t="s">
        <v>129</v>
      </c>
      <c r="B118" s="223"/>
      <c r="C118" s="206">
        <v>300</v>
      </c>
      <c r="D118" s="25">
        <v>0</v>
      </c>
      <c r="E118" s="181">
        <v>0</v>
      </c>
      <c r="F118" s="120">
        <f t="shared" si="92"/>
        <v>300</v>
      </c>
      <c r="G118" s="28">
        <f t="shared" si="53"/>
        <v>0</v>
      </c>
      <c r="H118" s="120" t="s">
        <v>129</v>
      </c>
      <c r="I118" s="223"/>
      <c r="J118" s="206">
        <v>300</v>
      </c>
      <c r="K118" s="25">
        <v>0</v>
      </c>
      <c r="L118" s="181">
        <v>0</v>
      </c>
      <c r="M118" s="120">
        <f t="shared" si="93"/>
        <v>300</v>
      </c>
      <c r="O118" s="212" t="s">
        <v>129</v>
      </c>
      <c r="P118" s="223"/>
      <c r="Q118" s="213">
        <v>300</v>
      </c>
      <c r="R118" s="33">
        <v>0</v>
      </c>
      <c r="S118" s="34">
        <v>0</v>
      </c>
      <c r="T118" s="35">
        <f t="shared" si="91"/>
        <v>300</v>
      </c>
    </row>
    <row r="119" spans="1:20" x14ac:dyDescent="0.3">
      <c r="A119" s="120" t="s">
        <v>130</v>
      </c>
      <c r="B119" s="223"/>
      <c r="C119" s="206">
        <v>0</v>
      </c>
      <c r="D119" s="25">
        <v>0</v>
      </c>
      <c r="E119" s="181">
        <v>0</v>
      </c>
      <c r="F119" s="120">
        <f t="shared" si="92"/>
        <v>0</v>
      </c>
      <c r="G119" s="28">
        <f t="shared" si="53"/>
        <v>0</v>
      </c>
      <c r="H119" s="120" t="s">
        <v>130</v>
      </c>
      <c r="I119" s="223"/>
      <c r="J119" s="206">
        <v>0</v>
      </c>
      <c r="K119" s="25">
        <v>0</v>
      </c>
      <c r="L119" s="181">
        <v>0</v>
      </c>
      <c r="M119" s="120">
        <f t="shared" si="93"/>
        <v>0</v>
      </c>
      <c r="O119" s="212" t="s">
        <v>130</v>
      </c>
      <c r="P119" s="223"/>
      <c r="Q119" s="213">
        <v>0</v>
      </c>
      <c r="R119" s="33">
        <v>0</v>
      </c>
      <c r="S119" s="34">
        <v>0</v>
      </c>
      <c r="T119" s="35">
        <f t="shared" si="91"/>
        <v>0</v>
      </c>
    </row>
    <row r="120" spans="1:20" ht="14.5" thickBot="1" x14ac:dyDescent="0.35">
      <c r="A120" s="120" t="s">
        <v>131</v>
      </c>
      <c r="B120" s="121"/>
      <c r="C120" s="206">
        <v>0</v>
      </c>
      <c r="D120" s="25">
        <v>0</v>
      </c>
      <c r="E120" s="181">
        <v>0</v>
      </c>
      <c r="F120" s="120">
        <f t="shared" si="92"/>
        <v>0</v>
      </c>
      <c r="G120" s="28">
        <f t="shared" si="53"/>
        <v>0</v>
      </c>
      <c r="H120" s="120" t="s">
        <v>131</v>
      </c>
      <c r="I120" s="121"/>
      <c r="J120" s="206">
        <v>0</v>
      </c>
      <c r="K120" s="25">
        <v>0</v>
      </c>
      <c r="L120" s="181">
        <v>0</v>
      </c>
      <c r="M120" s="120">
        <f t="shared" si="93"/>
        <v>0</v>
      </c>
      <c r="O120" s="212" t="s">
        <v>131</v>
      </c>
      <c r="P120" s="121"/>
      <c r="Q120" s="209">
        <v>0</v>
      </c>
      <c r="R120" s="33">
        <v>0</v>
      </c>
      <c r="S120" s="34">
        <v>0</v>
      </c>
      <c r="T120" s="35">
        <f t="shared" si="91"/>
        <v>0</v>
      </c>
    </row>
    <row r="121" spans="1:20" ht="14.5" thickBot="1" x14ac:dyDescent="0.35">
      <c r="A121" s="218" t="s">
        <v>132</v>
      </c>
      <c r="B121" s="143"/>
      <c r="C121" s="150">
        <f>SUM(C116:C120)</f>
        <v>1100</v>
      </c>
      <c r="D121" s="150">
        <f>SUM(D51:D120)</f>
        <v>0</v>
      </c>
      <c r="E121" s="193">
        <f>SUM(E51:E120)</f>
        <v>0</v>
      </c>
      <c r="F121" s="221">
        <f>SUM(F51:F120)</f>
        <v>52850</v>
      </c>
      <c r="G121" s="28">
        <f t="shared" si="53"/>
        <v>-1000</v>
      </c>
      <c r="H121" s="218" t="s">
        <v>132</v>
      </c>
      <c r="I121" s="143"/>
      <c r="J121" s="150">
        <f>SUM(J115:J120)</f>
        <v>2100</v>
      </c>
      <c r="K121" s="150">
        <f t="shared" ref="K121:M121" si="94">SUM(K115:K120)</f>
        <v>0</v>
      </c>
      <c r="L121" s="150">
        <f t="shared" si="94"/>
        <v>-1185</v>
      </c>
      <c r="M121" s="150">
        <f t="shared" si="94"/>
        <v>915</v>
      </c>
      <c r="O121" s="98" t="s">
        <v>132</v>
      </c>
      <c r="P121" s="141"/>
      <c r="Q121" s="100">
        <f>SUM(Q115:Q120)</f>
        <v>2100</v>
      </c>
      <c r="R121" s="100">
        <f t="shared" ref="R121:T121" si="95">SUM(R115:R120)</f>
        <v>0</v>
      </c>
      <c r="S121" s="101">
        <f t="shared" si="95"/>
        <v>-1214.27</v>
      </c>
      <c r="T121" s="102">
        <f t="shared" si="95"/>
        <v>885.73</v>
      </c>
    </row>
    <row r="122" spans="1:20" ht="20.5" thickBot="1" x14ac:dyDescent="0.45">
      <c r="A122" s="224" t="s">
        <v>133</v>
      </c>
      <c r="B122" s="143"/>
      <c r="C122" s="219">
        <f>C121+C113+C101+C95+C87</f>
        <v>41050</v>
      </c>
      <c r="D122" s="150">
        <f>D121+D113+D101+D95+D87</f>
        <v>0</v>
      </c>
      <c r="E122" s="193">
        <f>E121+E113+E101+E95+E87</f>
        <v>0</v>
      </c>
      <c r="F122" s="225"/>
      <c r="G122" s="28">
        <f t="shared" si="53"/>
        <v>11665</v>
      </c>
      <c r="H122" s="224" t="s">
        <v>133</v>
      </c>
      <c r="I122" s="143"/>
      <c r="J122" s="219">
        <f>J121+J113+J101+J95+J87</f>
        <v>29385</v>
      </c>
      <c r="K122" s="150">
        <f>K121+K113+K101+K95+K87</f>
        <v>3936.8300000000004</v>
      </c>
      <c r="L122" s="193">
        <f>L121+L113+L101+L95+L87</f>
        <v>-94821.670000000013</v>
      </c>
      <c r="M122" s="225"/>
      <c r="O122" s="224" t="s">
        <v>133</v>
      </c>
      <c r="P122" s="143"/>
      <c r="Q122" s="163">
        <f>Q121+Q113+Q101+Q95+Q87</f>
        <v>27235</v>
      </c>
      <c r="R122" s="163">
        <f>R121+R113+R101+R95+R87</f>
        <v>0</v>
      </c>
      <c r="S122" s="164">
        <f>S121+S113+S101+S95+S87</f>
        <v>-7334.1499999999987</v>
      </c>
      <c r="T122" s="165">
        <f>T121+T113+T101+T95+T87</f>
        <v>19900.849999999999</v>
      </c>
    </row>
    <row r="123" spans="1:20" ht="14.5" thickBot="1" x14ac:dyDescent="0.35">
      <c r="A123" s="226"/>
      <c r="B123" s="227"/>
      <c r="C123" s="227"/>
      <c r="D123" s="227"/>
      <c r="E123" s="228"/>
      <c r="G123" s="28">
        <f t="shared" si="53"/>
        <v>0</v>
      </c>
      <c r="H123" s="226"/>
      <c r="I123" s="227"/>
      <c r="J123" s="227"/>
      <c r="K123" s="227"/>
      <c r="L123" s="228"/>
      <c r="O123" s="167"/>
      <c r="P123" s="73"/>
      <c r="Q123" s="73"/>
      <c r="R123" s="73"/>
      <c r="S123" s="73"/>
      <c r="T123" s="73"/>
    </row>
    <row r="124" spans="1:20" ht="20.5" thickBot="1" x14ac:dyDescent="0.45">
      <c r="A124" s="229" t="s">
        <v>134</v>
      </c>
      <c r="B124" s="230"/>
      <c r="C124" s="231">
        <f>C80-C122</f>
        <v>-12900</v>
      </c>
      <c r="D124" s="231">
        <f>D80+D122</f>
        <v>0</v>
      </c>
      <c r="E124" s="232">
        <f>E80+E122</f>
        <v>0</v>
      </c>
      <c r="F124" s="233">
        <f>(D124+E124)+C124</f>
        <v>-12900</v>
      </c>
      <c r="G124" s="28">
        <f t="shared" si="53"/>
        <v>-4415</v>
      </c>
      <c r="H124" s="229" t="s">
        <v>134</v>
      </c>
      <c r="I124" s="230"/>
      <c r="J124" s="231">
        <f>J80-J122</f>
        <v>-8485</v>
      </c>
      <c r="K124" s="231">
        <f>K80+K122</f>
        <v>86370.85</v>
      </c>
      <c r="L124" s="232">
        <f>L80+L122</f>
        <v>-133145.77000000002</v>
      </c>
      <c r="M124" s="233">
        <f>(K124+L124)+J124</f>
        <v>-55259.920000000013</v>
      </c>
      <c r="O124" s="234" t="s">
        <v>134</v>
      </c>
      <c r="P124" s="235"/>
      <c r="Q124" s="163">
        <f>Q80-Q122</f>
        <v>-8335</v>
      </c>
      <c r="R124" s="163">
        <f>R80-R122</f>
        <v>52111.18</v>
      </c>
      <c r="S124" s="164">
        <f>S80+S122</f>
        <v>-31376.489999999998</v>
      </c>
      <c r="T124" s="165">
        <f>(R124+S124)+Q124</f>
        <v>12399.690000000002</v>
      </c>
    </row>
    <row r="125" spans="1:20" x14ac:dyDescent="0.3">
      <c r="A125" s="236"/>
      <c r="B125" s="236"/>
      <c r="C125" s="237"/>
      <c r="H125" s="236"/>
      <c r="I125" s="236"/>
      <c r="J125" s="237"/>
      <c r="O125" s="167"/>
      <c r="P125" s="73"/>
      <c r="Q125" s="73"/>
      <c r="R125" s="73"/>
      <c r="S125" s="73"/>
      <c r="T125" s="73"/>
    </row>
    <row r="126" spans="1:20" ht="14.5" thickBot="1" x14ac:dyDescent="0.35">
      <c r="O126" s="236"/>
      <c r="P126" s="236"/>
    </row>
    <row r="127" spans="1:20" ht="20" x14ac:dyDescent="0.4">
      <c r="A127" s="240" t="s">
        <v>135</v>
      </c>
      <c r="B127" s="241">
        <f>I128</f>
        <v>57200.06</v>
      </c>
      <c r="H127" s="240" t="s">
        <v>136</v>
      </c>
      <c r="I127" s="241">
        <f>P128</f>
        <v>55836.41</v>
      </c>
      <c r="O127" s="240" t="s">
        <v>137</v>
      </c>
      <c r="P127" s="241">
        <v>42161.37</v>
      </c>
    </row>
    <row r="128" spans="1:20" ht="20.5" thickBot="1" x14ac:dyDescent="0.45">
      <c r="A128" s="242" t="s">
        <v>138</v>
      </c>
      <c r="B128" s="243"/>
      <c r="H128" s="242" t="s">
        <v>139</v>
      </c>
      <c r="I128" s="243">
        <v>57200.06</v>
      </c>
      <c r="O128" s="242" t="s">
        <v>140</v>
      </c>
      <c r="P128" s="243">
        <v>55836.41</v>
      </c>
    </row>
    <row r="129" spans="15:15" x14ac:dyDescent="0.3">
      <c r="O129" s="236"/>
    </row>
  </sheetData>
  <mergeCells count="154">
    <mergeCell ref="O125:T125"/>
    <mergeCell ref="A123:E123"/>
    <mergeCell ref="H123:L123"/>
    <mergeCell ref="O123:T123"/>
    <mergeCell ref="A124:B124"/>
    <mergeCell ref="H124:I124"/>
    <mergeCell ref="O124:P124"/>
    <mergeCell ref="A121:B121"/>
    <mergeCell ref="H121:I121"/>
    <mergeCell ref="O121:P121"/>
    <mergeCell ref="A122:B122"/>
    <mergeCell ref="H122:I122"/>
    <mergeCell ref="O122:P122"/>
    <mergeCell ref="O104:P104"/>
    <mergeCell ref="O106:P106"/>
    <mergeCell ref="A113:B113"/>
    <mergeCell ref="H113:I113"/>
    <mergeCell ref="O113:P113"/>
    <mergeCell ref="A114:B114"/>
    <mergeCell ref="C114:E114"/>
    <mergeCell ref="H114:I114"/>
    <mergeCell ref="J114:L114"/>
    <mergeCell ref="O114:P114"/>
    <mergeCell ref="A102:B102"/>
    <mergeCell ref="C102:E102"/>
    <mergeCell ref="H102:I102"/>
    <mergeCell ref="J102:L102"/>
    <mergeCell ref="O102:P102"/>
    <mergeCell ref="O103:P103"/>
    <mergeCell ref="A98:B98"/>
    <mergeCell ref="H98:I98"/>
    <mergeCell ref="O98:P98"/>
    <mergeCell ref="O99:P99"/>
    <mergeCell ref="O100:P100"/>
    <mergeCell ref="A101:B101"/>
    <mergeCell ref="H101:I101"/>
    <mergeCell ref="O101:P101"/>
    <mergeCell ref="A96:B96"/>
    <mergeCell ref="C96:E96"/>
    <mergeCell ref="H96:I96"/>
    <mergeCell ref="J96:L96"/>
    <mergeCell ref="O96:P96"/>
    <mergeCell ref="A97:B97"/>
    <mergeCell ref="H97:I97"/>
    <mergeCell ref="O97:P97"/>
    <mergeCell ref="A93:B93"/>
    <mergeCell ref="H93:I93"/>
    <mergeCell ref="O93:P93"/>
    <mergeCell ref="O94:P94"/>
    <mergeCell ref="A95:B95"/>
    <mergeCell ref="H95:I95"/>
    <mergeCell ref="O95:P95"/>
    <mergeCell ref="H90:I90"/>
    <mergeCell ref="O90:P90"/>
    <mergeCell ref="A91:B91"/>
    <mergeCell ref="H91:I91"/>
    <mergeCell ref="O91:P91"/>
    <mergeCell ref="A92:B92"/>
    <mergeCell ref="H92:I92"/>
    <mergeCell ref="O92:P92"/>
    <mergeCell ref="A88:B88"/>
    <mergeCell ref="C88:E88"/>
    <mergeCell ref="H88:I88"/>
    <mergeCell ref="J88:L88"/>
    <mergeCell ref="O88:P88"/>
    <mergeCell ref="A89:B89"/>
    <mergeCell ref="H89:I89"/>
    <mergeCell ref="N89:N94"/>
    <mergeCell ref="O89:P89"/>
    <mergeCell ref="A90:B90"/>
    <mergeCell ref="A86:B86"/>
    <mergeCell ref="H86:I86"/>
    <mergeCell ref="O86:P86"/>
    <mergeCell ref="A87:B87"/>
    <mergeCell ref="H87:I87"/>
    <mergeCell ref="O87:P87"/>
    <mergeCell ref="A83:B83"/>
    <mergeCell ref="H83:I83"/>
    <mergeCell ref="O83:P83"/>
    <mergeCell ref="O84:P84"/>
    <mergeCell ref="A85:B85"/>
    <mergeCell ref="H85:I85"/>
    <mergeCell ref="O85:P85"/>
    <mergeCell ref="A81:E81"/>
    <mergeCell ref="H81:L81"/>
    <mergeCell ref="O81:T81"/>
    <mergeCell ref="A82:B82"/>
    <mergeCell ref="C82:E82"/>
    <mergeCell ref="H82:I82"/>
    <mergeCell ref="J82:L82"/>
    <mergeCell ref="O82:P82"/>
    <mergeCell ref="Q82:T82"/>
    <mergeCell ref="A79:B79"/>
    <mergeCell ref="H79:I79"/>
    <mergeCell ref="O79:P79"/>
    <mergeCell ref="A80:B80"/>
    <mergeCell ref="H80:I80"/>
    <mergeCell ref="O80:P80"/>
    <mergeCell ref="A77:B77"/>
    <mergeCell ref="H77:I77"/>
    <mergeCell ref="O77:P77"/>
    <mergeCell ref="A78:E78"/>
    <mergeCell ref="H78:L78"/>
    <mergeCell ref="O78:T78"/>
    <mergeCell ref="A71:B71"/>
    <mergeCell ref="H71:I71"/>
    <mergeCell ref="O71:P71"/>
    <mergeCell ref="A74:B74"/>
    <mergeCell ref="H74:I74"/>
    <mergeCell ref="O74:P74"/>
    <mergeCell ref="N47:N64"/>
    <mergeCell ref="A65:B65"/>
    <mergeCell ref="H65:I65"/>
    <mergeCell ref="O65:P65"/>
    <mergeCell ref="N66:N67"/>
    <mergeCell ref="A68:B68"/>
    <mergeCell ref="H68:I68"/>
    <mergeCell ref="O68:P68"/>
    <mergeCell ref="A43:B43"/>
    <mergeCell ref="H43:I43"/>
    <mergeCell ref="O43:P43"/>
    <mergeCell ref="A46:B46"/>
    <mergeCell ref="H46:I46"/>
    <mergeCell ref="O46:P46"/>
    <mergeCell ref="A37:B37"/>
    <mergeCell ref="H37:I37"/>
    <mergeCell ref="O37:P37"/>
    <mergeCell ref="A40:B40"/>
    <mergeCell ref="H40:I40"/>
    <mergeCell ref="O40:P40"/>
    <mergeCell ref="A34:B34"/>
    <mergeCell ref="C34:E34"/>
    <mergeCell ref="H34:I34"/>
    <mergeCell ref="J34:L34"/>
    <mergeCell ref="O34:P34"/>
    <mergeCell ref="Q34:T34"/>
    <mergeCell ref="O30:P30"/>
    <mergeCell ref="O31:P31"/>
    <mergeCell ref="O32:P32"/>
    <mergeCell ref="A33:E33"/>
    <mergeCell ref="H33:L33"/>
    <mergeCell ref="O33:T33"/>
    <mergeCell ref="A4:B4"/>
    <mergeCell ref="C4:F4"/>
    <mergeCell ref="H4:I4"/>
    <mergeCell ref="J4:M4"/>
    <mergeCell ref="O4:P4"/>
    <mergeCell ref="Q4:T4"/>
    <mergeCell ref="A1:F1"/>
    <mergeCell ref="H1:M1"/>
    <mergeCell ref="O1:T1"/>
    <mergeCell ref="A3:C3"/>
    <mergeCell ref="H3:J3"/>
    <mergeCell ref="O3:Q3"/>
  </mergeCells>
  <conditionalFormatting sqref="I48:I54 J2:K36 C2:D46 J47:K120 C56:D1048576">
    <cfRule type="cellIs" dxfId="6" priority="6" operator="lessThan">
      <formula>0</formula>
    </cfRule>
  </conditionalFormatting>
  <conditionalFormatting sqref="I56:I64">
    <cfRule type="cellIs" dxfId="5" priority="5" operator="lessThan">
      <formula>0</formula>
    </cfRule>
  </conditionalFormatting>
  <conditionalFormatting sqref="M30 J37:M37 J38:K39 J40:M40 J41:K42 J43:M43 J44:K45 J46 C47:F47 C48:D54 J121:M121 J122:K1048576">
    <cfRule type="cellIs" dxfId="4" priority="7" operator="lessThan">
      <formula>0</formula>
    </cfRule>
  </conditionalFormatting>
  <conditionalFormatting sqref="Q5:R5">
    <cfRule type="cellIs" dxfId="3" priority="4" operator="lessThan">
      <formula>0</formula>
    </cfRule>
  </conditionalFormatting>
  <conditionalFormatting sqref="Q20:R20 Q22:R22">
    <cfRule type="cellIs" dxfId="2" priority="3" operator="lessThan">
      <formula>0</formula>
    </cfRule>
  </conditionalFormatting>
  <conditionalFormatting sqref="Q48:R54 Q56:R64">
    <cfRule type="cellIs" dxfId="1" priority="2" operator="lessThan">
      <formula>0</formula>
    </cfRule>
  </conditionalFormatting>
  <conditionalFormatting sqref="L89:L90">
    <cfRule type="cellIs" dxfId="0" priority="1" operator="lessThan">
      <formula>0</formula>
    </cfRule>
  </conditionalFormatting>
  <printOptions horizontalCentered="1"/>
  <pageMargins left="0.45" right="0.45" top="0.5" bottom="0.25" header="0" footer="0"/>
  <pageSetup scale="5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Presented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Wacima Chabane</dc:creator>
  <cp:lastModifiedBy>Wacima Chabane</cp:lastModifiedBy>
  <dcterms:created xsi:type="dcterms:W3CDTF">2023-06-15T15:41:41Z</dcterms:created>
  <dcterms:modified xsi:type="dcterms:W3CDTF">2023-06-15T15:41:58Z</dcterms:modified>
</cp:coreProperties>
</file>